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quivos\3.06.00 - assessoria de licitacoes e contrato\001 - COTAÇÕES LICITAÇÃO - 2020\Cotação p Gelic\"/>
    </mc:Choice>
  </mc:AlternateContent>
  <bookViews>
    <workbookView showHorizontalScroll="0" showVerticalScroll="0" xWindow="0" yWindow="0" windowWidth="28800" windowHeight="12300" tabRatio="852" activeTab="1"/>
  </bookViews>
  <sheets>
    <sheet name="Informações" sheetId="23" r:id="rId1"/>
    <sheet name="Resumo" sheetId="14" r:id="rId2"/>
    <sheet name="Jardineiro" sheetId="12" r:id="rId3"/>
    <sheet name="Aux. Jardim" sheetId="13" r:id="rId4"/>
    <sheet name="Equipamentos" sheetId="7" r:id="rId5"/>
    <sheet name="EPIs" sheetId="10" r:id="rId6"/>
    <sheet name="Materiais" sheetId="8" r:id="rId7"/>
    <sheet name="Uniformes" sheetId="6" r:id="rId8"/>
    <sheet name="Utensílios" sheetId="19" state="hidden" r:id="rId9"/>
    <sheet name="Servente de Limpeza" sheetId="1" state="hidden" r:id="rId10"/>
    <sheet name="Servente de Limpeza - Banheiro" sheetId="17" state="hidden" r:id="rId11"/>
    <sheet name="Servente de Limpeza - Diária" sheetId="20" state="hidden" r:id="rId12"/>
    <sheet name="Líder" sheetId="15" state="hidden" r:id="rId13"/>
    <sheet name="Copeira" sheetId="11" state="hidden" r:id="rId14"/>
    <sheet name="Jardineiro - Diária" sheetId="24" state="hidden" r:id="rId15"/>
    <sheet name="Beneficios" sheetId="9" r:id="rId16"/>
    <sheet name="Tributos - Real" sheetId="21" r:id="rId17"/>
    <sheet name="Tributos - Simples" sheetId="22" r:id="rId18"/>
  </sheets>
  <definedNames>
    <definedName name="_xlnm.Print_Area" localSheetId="3">'Aux. Jardim'!$A$1:$E$160</definedName>
    <definedName name="_xlnm.Print_Area" localSheetId="13">Copeira!$A$1:$E$168</definedName>
    <definedName name="_xlnm.Print_Area" localSheetId="2">Jardineiro!$A$1:$E$173</definedName>
    <definedName name="_xlnm.Print_Area" localSheetId="14">'Jardineiro - Diária'!$A$1:$E$173</definedName>
    <definedName name="_xlnm.Print_Area" localSheetId="12">Líder!$A$1:$E$172</definedName>
    <definedName name="_xlnm.Print_Area" localSheetId="9">'Servente de Limpeza'!$A$1:$E$165</definedName>
    <definedName name="_xlnm.Print_Area" localSheetId="10">'Servente de Limpeza - Banheiro'!$A$1:$E$165</definedName>
    <definedName name="_xlnm.Print_Area" localSheetId="11">'Servente de Limpeza - Diária'!$A$1:$E$165</definedName>
    <definedName name="_xlnm.Print_Area" localSheetId="16">'Tributos - Real'!$A$1:$F$38</definedName>
    <definedName name="_xlnm.Print_Area">#REF!</definedName>
    <definedName name="Excel_BuiltIn_Print_Area_1" localSheetId="14">#REF!</definedName>
    <definedName name="Excel_BuiltIn_Print_Area_1" localSheetId="11">#REF!</definedName>
    <definedName name="Excel_BuiltIn_Print_Area_1" localSheetId="16">#REF!</definedName>
    <definedName name="Excel_BuiltIn_Print_Area_1" localSheetId="17">#REF!</definedName>
    <definedName name="Excel_BuiltIn_Print_Area_1">#REF!</definedName>
    <definedName name="Excel_BuiltIn_Print_Area_2" localSheetId="14">#REF!</definedName>
    <definedName name="Excel_BuiltIn_Print_Area_2" localSheetId="11">#REF!</definedName>
    <definedName name="Excel_BuiltIn_Print_Area_2" localSheetId="16">#REF!</definedName>
    <definedName name="Excel_BuiltIn_Print_Area_2" localSheetId="17">#REF!</definedName>
    <definedName name="Excel_BuiltIn_Print_Area_2">#REF!</definedName>
    <definedName name="Jardineiro" localSheetId="14">#REF!</definedName>
    <definedName name="Jardineiro" localSheetId="11">#REF!</definedName>
    <definedName name="Jardineiro" localSheetId="16">#REF!</definedName>
    <definedName name="Jardineiro" localSheetId="17">#REF!</definedName>
    <definedName name="Jardineiro">#REF!</definedName>
    <definedName name="Print_Area_1" localSheetId="14">#REF!</definedName>
    <definedName name="Print_Area_1" localSheetId="11">#REF!</definedName>
    <definedName name="Print_Area_1" localSheetId="16">#REF!</definedName>
    <definedName name="Print_Area_1" localSheetId="17">#REF!</definedName>
    <definedName name="Print_Area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6" l="1"/>
  <c r="E12" i="14"/>
  <c r="E10" i="14"/>
  <c r="G15" i="6"/>
  <c r="F15" i="6"/>
  <c r="F14" i="6"/>
  <c r="G14" i="6" s="1"/>
  <c r="F13" i="6"/>
  <c r="G13" i="6" s="1"/>
  <c r="F12" i="6"/>
  <c r="G12" i="6" s="1"/>
  <c r="F11" i="6"/>
  <c r="G11" i="6" s="1"/>
  <c r="F10" i="6"/>
  <c r="G10" i="6" s="1"/>
  <c r="F9" i="6"/>
  <c r="F49" i="7"/>
  <c r="H49" i="7" s="1"/>
  <c r="I49" i="7" s="1"/>
  <c r="J49" i="7" s="1"/>
  <c r="F48" i="7"/>
  <c r="F47" i="7"/>
  <c r="H47" i="7" s="1"/>
  <c r="I47" i="7" s="1"/>
  <c r="J47" i="7" s="1"/>
  <c r="F46" i="7"/>
  <c r="F45" i="7"/>
  <c r="H45" i="7" s="1"/>
  <c r="I45" i="7" s="1"/>
  <c r="J45" i="7" s="1"/>
  <c r="F44" i="7"/>
  <c r="F43" i="7"/>
  <c r="H43" i="7" s="1"/>
  <c r="I43" i="7" s="1"/>
  <c r="J43" i="7" s="1"/>
  <c r="F42" i="7"/>
  <c r="F41" i="7"/>
  <c r="H41" i="7" s="1"/>
  <c r="I41" i="7" s="1"/>
  <c r="J41" i="7" s="1"/>
  <c r="F40" i="7"/>
  <c r="F39" i="7"/>
  <c r="H39" i="7" s="1"/>
  <c r="I39" i="7" s="1"/>
  <c r="J39" i="7" s="1"/>
  <c r="F38" i="7"/>
  <c r="F37" i="7"/>
  <c r="H37" i="7" s="1"/>
  <c r="I37" i="7" s="1"/>
  <c r="J37" i="7" s="1"/>
  <c r="F36" i="7"/>
  <c r="F35" i="7"/>
  <c r="H35" i="7" s="1"/>
  <c r="I35" i="7" s="1"/>
  <c r="J35" i="7" s="1"/>
  <c r="F34" i="7"/>
  <c r="F33" i="7"/>
  <c r="H33" i="7" s="1"/>
  <c r="I33" i="7" s="1"/>
  <c r="J33" i="7" s="1"/>
  <c r="F32" i="7"/>
  <c r="F31" i="7"/>
  <c r="H31" i="7" s="1"/>
  <c r="I31" i="7" s="1"/>
  <c r="J31" i="7" s="1"/>
  <c r="F30" i="7"/>
  <c r="F29" i="7"/>
  <c r="H29" i="7" s="1"/>
  <c r="I29" i="7" s="1"/>
  <c r="J29" i="7" s="1"/>
  <c r="F28" i="7"/>
  <c r="F27" i="7"/>
  <c r="H27" i="7" s="1"/>
  <c r="I27" i="7" s="1"/>
  <c r="J27" i="7" s="1"/>
  <c r="F26" i="7"/>
  <c r="F19" i="10"/>
  <c r="G19" i="10" s="1"/>
  <c r="F18" i="10"/>
  <c r="G18" i="10" s="1"/>
  <c r="F17" i="10"/>
  <c r="G17" i="10" s="1"/>
  <c r="F16" i="10"/>
  <c r="G16" i="10" s="1"/>
  <c r="F15" i="10"/>
  <c r="G15" i="10" s="1"/>
  <c r="F14" i="10"/>
  <c r="G14" i="10" s="1"/>
  <c r="F13" i="10"/>
  <c r="G13" i="10" s="1"/>
  <c r="F12" i="10"/>
  <c r="G12" i="10" s="1"/>
  <c r="F11" i="10"/>
  <c r="G11" i="10" s="1"/>
  <c r="H7" i="8"/>
  <c r="G7" i="8"/>
  <c r="H6" i="8"/>
  <c r="G6" i="8"/>
  <c r="H5" i="8"/>
  <c r="G5" i="8"/>
  <c r="D126" i="13" l="1"/>
  <c r="H26" i="7"/>
  <c r="I26" i="7" s="1"/>
  <c r="J26" i="7" s="1"/>
  <c r="H28" i="7"/>
  <c r="I28" i="7" s="1"/>
  <c r="J28" i="7" s="1"/>
  <c r="H30" i="7"/>
  <c r="I30" i="7" s="1"/>
  <c r="J30" i="7" s="1"/>
  <c r="H32" i="7"/>
  <c r="I32" i="7" s="1"/>
  <c r="J32" i="7" s="1"/>
  <c r="H34" i="7"/>
  <c r="I34" i="7" s="1"/>
  <c r="J34" i="7" s="1"/>
  <c r="H36" i="7"/>
  <c r="I36" i="7" s="1"/>
  <c r="J36" i="7" s="1"/>
  <c r="H38" i="7"/>
  <c r="I38" i="7" s="1"/>
  <c r="J38" i="7" s="1"/>
  <c r="H40" i="7"/>
  <c r="I40" i="7" s="1"/>
  <c r="J40" i="7" s="1"/>
  <c r="H42" i="7"/>
  <c r="I42" i="7" s="1"/>
  <c r="J42" i="7" s="1"/>
  <c r="H44" i="7"/>
  <c r="I44" i="7" s="1"/>
  <c r="J44" i="7" s="1"/>
  <c r="H46" i="7"/>
  <c r="I46" i="7" s="1"/>
  <c r="J46" i="7" s="1"/>
  <c r="H48" i="7"/>
  <c r="I48" i="7" s="1"/>
  <c r="J48" i="7" s="1"/>
  <c r="G3" i="6"/>
  <c r="G2" i="6"/>
  <c r="F2" i="6"/>
  <c r="G2" i="8"/>
  <c r="F6" i="10"/>
  <c r="G6" i="10" s="1"/>
  <c r="F7" i="10"/>
  <c r="G7" i="10" s="1"/>
  <c r="F8" i="10"/>
  <c r="G8" i="10" s="1"/>
  <c r="F9" i="10"/>
  <c r="G9" i="10" s="1"/>
  <c r="F10" i="10"/>
  <c r="G10" i="10"/>
  <c r="F3" i="10"/>
  <c r="G3" i="10" s="1"/>
  <c r="F4" i="10"/>
  <c r="G4" i="10"/>
  <c r="F5" i="10"/>
  <c r="G5" i="10"/>
  <c r="G3" i="8"/>
  <c r="H3" i="8"/>
  <c r="G4" i="8"/>
  <c r="H4" i="8"/>
  <c r="F3" i="6"/>
  <c r="F4" i="6"/>
  <c r="G4" i="6" s="1"/>
  <c r="F5" i="6"/>
  <c r="G5" i="6"/>
  <c r="F6" i="6"/>
  <c r="G6" i="6" s="1"/>
  <c r="F7" i="6"/>
  <c r="G7" i="6" s="1"/>
  <c r="F8" i="6"/>
  <c r="G8" i="6"/>
  <c r="F3" i="7"/>
  <c r="H3" i="7" s="1"/>
  <c r="F4" i="7"/>
  <c r="H4" i="7" s="1"/>
  <c r="F5" i="7"/>
  <c r="F6" i="7"/>
  <c r="H6" i="7" s="1"/>
  <c r="F7" i="7"/>
  <c r="H7" i="7" s="1"/>
  <c r="F8" i="7"/>
  <c r="H8" i="7" s="1"/>
  <c r="F9" i="7"/>
  <c r="H9" i="7"/>
  <c r="F10" i="7"/>
  <c r="H10" i="7" s="1"/>
  <c r="F11" i="7"/>
  <c r="H11" i="7" s="1"/>
  <c r="F12" i="7"/>
  <c r="H12" i="7" s="1"/>
  <c r="F13" i="7"/>
  <c r="H13" i="7" s="1"/>
  <c r="F14" i="7"/>
  <c r="H14" i="7" s="1"/>
  <c r="F15" i="7"/>
  <c r="H15" i="7"/>
  <c r="F16" i="7"/>
  <c r="H16" i="7" s="1"/>
  <c r="F17" i="7"/>
  <c r="H17" i="7" s="1"/>
  <c r="F18" i="7"/>
  <c r="H18" i="7" s="1"/>
  <c r="F19" i="7"/>
  <c r="H19" i="7" s="1"/>
  <c r="F20" i="7"/>
  <c r="H20" i="7" s="1"/>
  <c r="F21" i="7"/>
  <c r="F22" i="7"/>
  <c r="H22" i="7" s="1"/>
  <c r="F23" i="7"/>
  <c r="H23" i="7" s="1"/>
  <c r="F24" i="7"/>
  <c r="H24" i="7" s="1"/>
  <c r="F25" i="7"/>
  <c r="H25" i="7" s="1"/>
  <c r="I15" i="7" l="1"/>
  <c r="J15" i="7" s="1"/>
  <c r="I25" i="7"/>
  <c r="J25" i="7" s="1"/>
  <c r="I9" i="7"/>
  <c r="J9" i="7" s="1"/>
  <c r="I19" i="7"/>
  <c r="J19" i="7" s="1"/>
  <c r="I13" i="7"/>
  <c r="J13" i="7" s="1"/>
  <c r="I23" i="7"/>
  <c r="J23" i="7" s="1"/>
  <c r="I7" i="7"/>
  <c r="J7" i="7" s="1"/>
  <c r="I3" i="7"/>
  <c r="J3" i="7" s="1"/>
  <c r="I17" i="7"/>
  <c r="J17" i="7" s="1"/>
  <c r="H21" i="7"/>
  <c r="I21" i="7" s="1"/>
  <c r="J21" i="7" s="1"/>
  <c r="I11" i="7"/>
  <c r="J11" i="7" s="1"/>
  <c r="H5" i="7"/>
  <c r="I5" i="7" s="1"/>
  <c r="J5" i="7" s="1"/>
  <c r="D126" i="12"/>
  <c r="I24" i="7"/>
  <c r="J24" i="7" s="1"/>
  <c r="I22" i="7"/>
  <c r="J22" i="7" s="1"/>
  <c r="I20" i="7"/>
  <c r="J20" i="7" s="1"/>
  <c r="I18" i="7"/>
  <c r="J18" i="7" s="1"/>
  <c r="I16" i="7"/>
  <c r="J16" i="7" s="1"/>
  <c r="I14" i="7"/>
  <c r="J14" i="7" s="1"/>
  <c r="I12" i="7"/>
  <c r="J12" i="7" s="1"/>
  <c r="I10" i="7"/>
  <c r="J10" i="7" s="1"/>
  <c r="I8" i="7"/>
  <c r="J8" i="7" s="1"/>
  <c r="I6" i="7"/>
  <c r="J6" i="7" s="1"/>
  <c r="I4" i="7"/>
  <c r="J4" i="7" s="1"/>
  <c r="C144" i="12"/>
  <c r="C144" i="24"/>
  <c r="C144" i="20"/>
  <c r="C144" i="1"/>
  <c r="C50" i="17"/>
  <c r="C39" i="17"/>
  <c r="D27" i="13" l="1"/>
  <c r="D27" i="12"/>
  <c r="D65" i="11"/>
  <c r="D27" i="11"/>
  <c r="D27" i="15"/>
  <c r="D27" i="17"/>
  <c r="C17" i="11" l="1"/>
  <c r="C17" i="15"/>
  <c r="C17" i="20"/>
  <c r="C17" i="17"/>
  <c r="H11" i="14" l="1"/>
  <c r="E11" i="14"/>
  <c r="H7" i="14"/>
  <c r="E7" i="14"/>
  <c r="D31" i="24"/>
  <c r="D30" i="24"/>
  <c r="D29" i="24"/>
  <c r="D28" i="24"/>
  <c r="D26" i="24"/>
  <c r="D25" i="24"/>
  <c r="C17" i="24" s="1"/>
  <c r="D63" i="20"/>
  <c r="D64" i="20"/>
  <c r="D26" i="20"/>
  <c r="D27" i="20"/>
  <c r="D28" i="20"/>
  <c r="D29" i="20"/>
  <c r="D30" i="20"/>
  <c r="D25" i="20"/>
  <c r="D129" i="24"/>
  <c r="D126" i="24"/>
  <c r="D112" i="24"/>
  <c r="D119" i="24" s="1"/>
  <c r="C104" i="24"/>
  <c r="C103" i="24"/>
  <c r="C102" i="24"/>
  <c r="C101" i="24"/>
  <c r="C100" i="24"/>
  <c r="C99" i="24"/>
  <c r="C88" i="24"/>
  <c r="C85" i="24"/>
  <c r="C86" i="24" s="1"/>
  <c r="D65" i="24"/>
  <c r="C65" i="24"/>
  <c r="D64" i="24"/>
  <c r="C64" i="24"/>
  <c r="C55" i="24"/>
  <c r="C54" i="24"/>
  <c r="C53" i="24"/>
  <c r="C52" i="24"/>
  <c r="C50" i="24"/>
  <c r="C42" i="24"/>
  <c r="C41" i="24"/>
  <c r="C40" i="24"/>
  <c r="C55" i="13"/>
  <c r="C54" i="13"/>
  <c r="C53" i="13"/>
  <c r="C52" i="13"/>
  <c r="C50" i="13"/>
  <c r="C55" i="12"/>
  <c r="C54" i="12"/>
  <c r="C53" i="12"/>
  <c r="C52" i="12"/>
  <c r="C50" i="12"/>
  <c r="C54" i="11"/>
  <c r="C53" i="11"/>
  <c r="C52" i="11"/>
  <c r="C51" i="11"/>
  <c r="C49" i="11"/>
  <c r="C54" i="15"/>
  <c r="C53" i="15"/>
  <c r="C52" i="15"/>
  <c r="C51" i="15"/>
  <c r="C49" i="15"/>
  <c r="C54" i="20"/>
  <c r="C53" i="20"/>
  <c r="C52" i="20"/>
  <c r="C51" i="20"/>
  <c r="C49" i="20"/>
  <c r="C54" i="17"/>
  <c r="C53" i="17"/>
  <c r="C52" i="17"/>
  <c r="C51" i="17"/>
  <c r="C49" i="17"/>
  <c r="C54" i="1"/>
  <c r="C53" i="1"/>
  <c r="C52" i="1"/>
  <c r="C51" i="1"/>
  <c r="C49" i="1"/>
  <c r="B2" i="9"/>
  <c r="C17" i="1"/>
  <c r="C57" i="24" l="1"/>
  <c r="C89" i="24" s="1"/>
  <c r="B2" i="22"/>
  <c r="B35" i="21"/>
  <c r="C35" i="21" s="1"/>
  <c r="E35" i="21" s="1"/>
  <c r="F35" i="21" s="1"/>
  <c r="A35" i="21"/>
  <c r="C34" i="21"/>
  <c r="E34" i="21" s="1"/>
  <c r="F34" i="21" s="1"/>
  <c r="B34" i="21"/>
  <c r="A34" i="21"/>
  <c r="C33" i="21"/>
  <c r="E33" i="21" s="1"/>
  <c r="F33" i="21" s="1"/>
  <c r="B33" i="21"/>
  <c r="A33" i="21"/>
  <c r="C32" i="21"/>
  <c r="E32" i="21" s="1"/>
  <c r="F32" i="21" s="1"/>
  <c r="B32" i="21"/>
  <c r="A32" i="21"/>
  <c r="B31" i="21"/>
  <c r="C31" i="21" s="1"/>
  <c r="E31" i="21" s="1"/>
  <c r="F31" i="21" s="1"/>
  <c r="A31" i="21"/>
  <c r="B30" i="21"/>
  <c r="C30" i="21" s="1"/>
  <c r="E30" i="21" s="1"/>
  <c r="F30" i="21" s="1"/>
  <c r="A30" i="21"/>
  <c r="B29" i="21"/>
  <c r="C29" i="21" s="1"/>
  <c r="E29" i="21" s="1"/>
  <c r="F29" i="21" s="1"/>
  <c r="A29" i="21"/>
  <c r="E28" i="21"/>
  <c r="F28" i="21" s="1"/>
  <c r="C28" i="21"/>
  <c r="B28" i="21"/>
  <c r="A28" i="21"/>
  <c r="B27" i="21"/>
  <c r="C27" i="21" s="1"/>
  <c r="E27" i="21" s="1"/>
  <c r="F27" i="21" s="1"/>
  <c r="A27" i="21"/>
  <c r="C26" i="21"/>
  <c r="E26" i="21" s="1"/>
  <c r="F26" i="21" s="1"/>
  <c r="B26" i="21"/>
  <c r="A26" i="21"/>
  <c r="C25" i="21"/>
  <c r="E25" i="21" s="1"/>
  <c r="F25" i="21" s="1"/>
  <c r="B25" i="21"/>
  <c r="A25" i="21"/>
  <c r="C24" i="21"/>
  <c r="E24" i="21" s="1"/>
  <c r="F24" i="21" s="1"/>
  <c r="F36" i="21" s="1"/>
  <c r="B24" i="21"/>
  <c r="A24" i="21"/>
  <c r="C18" i="21"/>
  <c r="E18" i="21" s="1"/>
  <c r="F18" i="21" s="1"/>
  <c r="E17" i="21"/>
  <c r="F17" i="21" s="1"/>
  <c r="C17" i="21"/>
  <c r="E16" i="21"/>
  <c r="F16" i="21" s="1"/>
  <c r="C16" i="21"/>
  <c r="E15" i="21"/>
  <c r="F15" i="21" s="1"/>
  <c r="C15" i="21"/>
  <c r="C14" i="21"/>
  <c r="E14" i="21" s="1"/>
  <c r="F14" i="21" s="1"/>
  <c r="F13" i="21"/>
  <c r="E13" i="21"/>
  <c r="C13" i="21"/>
  <c r="C12" i="21"/>
  <c r="E12" i="21" s="1"/>
  <c r="F12" i="21" s="1"/>
  <c r="C11" i="21"/>
  <c r="E11" i="21" s="1"/>
  <c r="F11" i="21" s="1"/>
  <c r="F10" i="21"/>
  <c r="C10" i="21"/>
  <c r="C9" i="21"/>
  <c r="E9" i="21" s="1"/>
  <c r="F9" i="21" s="1"/>
  <c r="C8" i="21"/>
  <c r="E8" i="21" s="1"/>
  <c r="F8" i="21" s="1"/>
  <c r="C7" i="21"/>
  <c r="E7" i="21" s="1"/>
  <c r="F7" i="21" s="1"/>
  <c r="B3" i="22" l="1"/>
  <c r="B4" i="22"/>
  <c r="F19" i="21"/>
  <c r="F45" i="21" s="1"/>
  <c r="B5" i="22" l="1"/>
  <c r="B8" i="22" l="1"/>
  <c r="B7" i="22" s="1"/>
  <c r="B6" i="22"/>
  <c r="C141" i="1" l="1"/>
  <c r="C141" i="12"/>
  <c r="C141" i="13"/>
  <c r="C141" i="15"/>
  <c r="C141" i="20"/>
  <c r="C141" i="24"/>
  <c r="C140" i="11"/>
  <c r="C141" i="17"/>
  <c r="C140" i="15"/>
  <c r="C140" i="1"/>
  <c r="C140" i="12"/>
  <c r="C140" i="20"/>
  <c r="C140" i="13"/>
  <c r="C140" i="24"/>
  <c r="C139" i="11"/>
  <c r="C140" i="17"/>
  <c r="C144" i="15"/>
  <c r="C143" i="11"/>
  <c r="C144" i="17"/>
  <c r="C144" i="13"/>
  <c r="D128" i="20"/>
  <c r="D118" i="20"/>
  <c r="D111" i="20"/>
  <c r="C103" i="20"/>
  <c r="C102" i="20"/>
  <c r="C101" i="20"/>
  <c r="C100" i="20"/>
  <c r="C99" i="20"/>
  <c r="C87" i="20"/>
  <c r="C85" i="20"/>
  <c r="C84" i="20"/>
  <c r="C64" i="20"/>
  <c r="C63" i="20"/>
  <c r="C56" i="20"/>
  <c r="C88" i="20" s="1"/>
  <c r="C41" i="20"/>
  <c r="C40" i="20"/>
  <c r="C98" i="20" s="1"/>
  <c r="C39" i="20"/>
  <c r="D31" i="20"/>
  <c r="C138" i="24" l="1"/>
  <c r="C138" i="20"/>
  <c r="D40" i="20"/>
  <c r="D41" i="20"/>
  <c r="D39" i="20"/>
  <c r="D151" i="20"/>
  <c r="F2" i="10"/>
  <c r="G2" i="10" s="1"/>
  <c r="F2" i="7"/>
  <c r="H2" i="7" s="1"/>
  <c r="H3" i="19"/>
  <c r="H13" i="19"/>
  <c r="H14" i="19"/>
  <c r="H15" i="19"/>
  <c r="H16" i="19"/>
  <c r="H17" i="19"/>
  <c r="H18" i="19"/>
  <c r="H19" i="19"/>
  <c r="G3" i="19"/>
  <c r="G4" i="19"/>
  <c r="H4" i="19" s="1"/>
  <c r="G5" i="19"/>
  <c r="H5" i="19" s="1"/>
  <c r="G6" i="19"/>
  <c r="H6" i="19" s="1"/>
  <c r="G7" i="19"/>
  <c r="H7" i="19" s="1"/>
  <c r="G8" i="19"/>
  <c r="H8" i="19" s="1"/>
  <c r="G9" i="19"/>
  <c r="H9" i="19" s="1"/>
  <c r="G10" i="19"/>
  <c r="H10" i="19" s="1"/>
  <c r="G11" i="19"/>
  <c r="H11" i="19" s="1"/>
  <c r="G12" i="19"/>
  <c r="H12" i="19" s="1"/>
  <c r="G13" i="19"/>
  <c r="G14" i="19"/>
  <c r="G15" i="19"/>
  <c r="G16" i="19"/>
  <c r="G17" i="19"/>
  <c r="G18" i="19"/>
  <c r="G19" i="19"/>
  <c r="H2" i="19"/>
  <c r="G2" i="19"/>
  <c r="D3" i="19"/>
  <c r="D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" i="19"/>
  <c r="H2" i="8"/>
  <c r="D127" i="24" s="1"/>
  <c r="D125" i="20" l="1"/>
  <c r="D125" i="17"/>
  <c r="I2" i="7"/>
  <c r="J2" i="7" s="1"/>
  <c r="D42" i="20"/>
  <c r="D75" i="20" l="1"/>
  <c r="D89" i="20" s="1"/>
  <c r="D50" i="20"/>
  <c r="D55" i="20"/>
  <c r="D49" i="20"/>
  <c r="D51" i="20"/>
  <c r="D48" i="20"/>
  <c r="D52" i="20"/>
  <c r="D53" i="20"/>
  <c r="D54" i="20"/>
  <c r="C41" i="13"/>
  <c r="C138" i="17"/>
  <c r="D128" i="17"/>
  <c r="C103" i="17"/>
  <c r="C102" i="17"/>
  <c r="C101" i="17"/>
  <c r="C100" i="17"/>
  <c r="C99" i="17"/>
  <c r="C98" i="17"/>
  <c r="C87" i="17"/>
  <c r="C85" i="17"/>
  <c r="C84" i="17"/>
  <c r="C84" i="1"/>
  <c r="H6" i="14"/>
  <c r="E6" i="14"/>
  <c r="D118" i="17"/>
  <c r="D111" i="17"/>
  <c r="C64" i="17"/>
  <c r="C63" i="17"/>
  <c r="C56" i="17"/>
  <c r="C41" i="17"/>
  <c r="C40" i="17"/>
  <c r="D26" i="17"/>
  <c r="D31" i="17" s="1"/>
  <c r="D87" i="20" l="1"/>
  <c r="D88" i="20"/>
  <c r="D90" i="20" s="1"/>
  <c r="D153" i="20" s="1"/>
  <c r="D84" i="20"/>
  <c r="D86" i="20"/>
  <c r="D85" i="20"/>
  <c r="D56" i="20"/>
  <c r="D76" i="20" s="1"/>
  <c r="C88" i="17"/>
  <c r="D151" i="17"/>
  <c r="D40" i="17"/>
  <c r="D41" i="17"/>
  <c r="D39" i="17"/>
  <c r="D42" i="17" l="1"/>
  <c r="D75" i="17" s="1"/>
  <c r="D89" i="17" s="1"/>
  <c r="D54" i="17"/>
  <c r="D48" i="17"/>
  <c r="D84" i="17"/>
  <c r="D87" i="17"/>
  <c r="D86" i="17"/>
  <c r="D49" i="17"/>
  <c r="D55" i="17"/>
  <c r="D52" i="17"/>
  <c r="D50" i="17"/>
  <c r="D88" i="17"/>
  <c r="D53" i="17"/>
  <c r="D85" i="17"/>
  <c r="D51" i="17" l="1"/>
  <c r="D56" i="17" s="1"/>
  <c r="D76" i="17" s="1"/>
  <c r="D90" i="17"/>
  <c r="D153" i="17" s="1"/>
  <c r="D27" i="24" l="1"/>
  <c r="D32" i="24" s="1"/>
  <c r="D27" i="1"/>
  <c r="D41" i="24" l="1"/>
  <c r="D40" i="24"/>
  <c r="D43" i="24" s="1"/>
  <c r="D76" i="24" s="1"/>
  <c r="D85" i="24" s="1"/>
  <c r="D42" i="24"/>
  <c r="D151" i="24"/>
  <c r="D56" i="24"/>
  <c r="D88" i="24"/>
  <c r="E9" i="14"/>
  <c r="C104" i="13"/>
  <c r="C103" i="13"/>
  <c r="C102" i="13"/>
  <c r="C101" i="13"/>
  <c r="C100" i="13"/>
  <c r="C88" i="13"/>
  <c r="C86" i="13"/>
  <c r="C85" i="13"/>
  <c r="C104" i="12"/>
  <c r="C103" i="12"/>
  <c r="C102" i="12"/>
  <c r="C101" i="12"/>
  <c r="C100" i="12"/>
  <c r="C88" i="12"/>
  <c r="C86" i="12"/>
  <c r="C85" i="12"/>
  <c r="C41" i="12"/>
  <c r="C103" i="1"/>
  <c r="C103" i="15"/>
  <c r="C102" i="11"/>
  <c r="C101" i="11"/>
  <c r="C100" i="11"/>
  <c r="C99" i="11"/>
  <c r="C102" i="15"/>
  <c r="C101" i="15"/>
  <c r="C100" i="15"/>
  <c r="C99" i="15"/>
  <c r="C103" i="11"/>
  <c r="C87" i="11"/>
  <c r="C84" i="11"/>
  <c r="C85" i="11" s="1"/>
  <c r="C40" i="11"/>
  <c r="C87" i="15"/>
  <c r="C84" i="15"/>
  <c r="C85" i="15" s="1"/>
  <c r="C40" i="15"/>
  <c r="C40" i="1"/>
  <c r="C102" i="1"/>
  <c r="C101" i="1"/>
  <c r="C100" i="1"/>
  <c r="C99" i="1"/>
  <c r="C87" i="1"/>
  <c r="C85" i="1"/>
  <c r="D86" i="24" l="1"/>
  <c r="D55" i="24"/>
  <c r="D87" i="24"/>
  <c r="D53" i="24"/>
  <c r="D89" i="24"/>
  <c r="D50" i="24"/>
  <c r="D90" i="24"/>
  <c r="D49" i="24"/>
  <c r="D52" i="24"/>
  <c r="D51" i="24"/>
  <c r="D54" i="24"/>
  <c r="H8" i="14"/>
  <c r="E8" i="14"/>
  <c r="C138" i="15"/>
  <c r="D128" i="15"/>
  <c r="D126" i="15"/>
  <c r="D125" i="15"/>
  <c r="D111" i="15"/>
  <c r="D118" i="15" s="1"/>
  <c r="C98" i="15"/>
  <c r="C64" i="15"/>
  <c r="C63" i="15"/>
  <c r="C56" i="15"/>
  <c r="C88" i="15" s="1"/>
  <c r="C41" i="15"/>
  <c r="C39" i="15"/>
  <c r="D26" i="15"/>
  <c r="D31" i="15" s="1"/>
  <c r="C99" i="13"/>
  <c r="D57" i="24" l="1"/>
  <c r="D77" i="24" s="1"/>
  <c r="D91" i="24"/>
  <c r="D153" i="24" s="1"/>
  <c r="D41" i="15"/>
  <c r="D39" i="15"/>
  <c r="D151" i="15"/>
  <c r="D40" i="15"/>
  <c r="D42" i="15" l="1"/>
  <c r="D75" i="15" l="1"/>
  <c r="D49" i="15"/>
  <c r="D51" i="15"/>
  <c r="D50" i="15"/>
  <c r="D55" i="15"/>
  <c r="D48" i="15"/>
  <c r="D52" i="15"/>
  <c r="D54" i="15"/>
  <c r="D53" i="15"/>
  <c r="D87" i="15" l="1"/>
  <c r="D84" i="15"/>
  <c r="D85" i="15"/>
  <c r="D89" i="15"/>
  <c r="D88" i="15"/>
  <c r="D86" i="15"/>
  <c r="D56" i="15"/>
  <c r="D76" i="15" s="1"/>
  <c r="D90" i="15" l="1"/>
  <c r="D153" i="15" s="1"/>
  <c r="H10" i="14"/>
  <c r="D128" i="24" s="1"/>
  <c r="D130" i="24" s="1"/>
  <c r="H12" i="14"/>
  <c r="H9" i="14"/>
  <c r="H5" i="14"/>
  <c r="E5" i="14"/>
  <c r="D155" i="24" l="1"/>
  <c r="D126" i="20"/>
  <c r="D127" i="20"/>
  <c r="D127" i="17"/>
  <c r="D126" i="17"/>
  <c r="D127" i="1"/>
  <c r="D127" i="15"/>
  <c r="D130" i="15" s="1"/>
  <c r="D155" i="15" s="1"/>
  <c r="D127" i="11"/>
  <c r="D128" i="12"/>
  <c r="D128" i="13"/>
  <c r="C65" i="12"/>
  <c r="C64" i="12"/>
  <c r="D130" i="20" l="1"/>
  <c r="D155" i="20" s="1"/>
  <c r="D130" i="17"/>
  <c r="D155" i="17" s="1"/>
  <c r="D128" i="1"/>
  <c r="D31" i="13" l="1"/>
  <c r="C138" i="13"/>
  <c r="D129" i="13"/>
  <c r="D127" i="13"/>
  <c r="D112" i="13"/>
  <c r="D119" i="13" s="1"/>
  <c r="C65" i="13"/>
  <c r="C64" i="13"/>
  <c r="C57" i="13"/>
  <c r="C89" i="13" s="1"/>
  <c r="C42" i="13"/>
  <c r="C40" i="13"/>
  <c r="D26" i="13"/>
  <c r="D31" i="12"/>
  <c r="C138" i="12"/>
  <c r="D129" i="12"/>
  <c r="D127" i="12"/>
  <c r="D112" i="12"/>
  <c r="D119" i="12" s="1"/>
  <c r="C99" i="12"/>
  <c r="C57" i="12"/>
  <c r="C89" i="12" s="1"/>
  <c r="C42" i="12"/>
  <c r="C40" i="12"/>
  <c r="D26" i="12"/>
  <c r="D128" i="11"/>
  <c r="C137" i="11"/>
  <c r="D126" i="11"/>
  <c r="D125" i="11"/>
  <c r="D111" i="11"/>
  <c r="D118" i="11" s="1"/>
  <c r="C98" i="11"/>
  <c r="C64" i="11"/>
  <c r="C63" i="11"/>
  <c r="C56" i="11"/>
  <c r="C88" i="11" s="1"/>
  <c r="C41" i="11"/>
  <c r="C39" i="11"/>
  <c r="D26" i="11"/>
  <c r="D31" i="11" s="1"/>
  <c r="D126" i="1"/>
  <c r="D125" i="1"/>
  <c r="D32" i="13" l="1"/>
  <c r="D32" i="12"/>
  <c r="D130" i="1"/>
  <c r="D130" i="13"/>
  <c r="D155" i="13" s="1"/>
  <c r="D130" i="12"/>
  <c r="D155" i="12" s="1"/>
  <c r="D129" i="11"/>
  <c r="D154" i="11" s="1"/>
  <c r="D150" i="11"/>
  <c r="D41" i="11"/>
  <c r="D39" i="11"/>
  <c r="D40" i="11"/>
  <c r="D64" i="1"/>
  <c r="F4" i="9"/>
  <c r="D64" i="17" s="1"/>
  <c r="F3" i="9"/>
  <c r="F2" i="9"/>
  <c r="D62" i="20" l="1"/>
  <c r="D63" i="24"/>
  <c r="D70" i="24" s="1"/>
  <c r="D78" i="24" s="1"/>
  <c r="D79" i="24" s="1"/>
  <c r="D62" i="17"/>
  <c r="D63" i="17"/>
  <c r="D42" i="12"/>
  <c r="D151" i="12"/>
  <c r="D40" i="12"/>
  <c r="D41" i="12"/>
  <c r="D41" i="13"/>
  <c r="D42" i="13"/>
  <c r="D40" i="13"/>
  <c r="D151" i="13"/>
  <c r="D64" i="15"/>
  <c r="D65" i="12"/>
  <c r="D64" i="11"/>
  <c r="D65" i="13"/>
  <c r="D62" i="15"/>
  <c r="D63" i="12"/>
  <c r="D63" i="13"/>
  <c r="D62" i="1"/>
  <c r="D62" i="11"/>
  <c r="D63" i="15"/>
  <c r="D64" i="12"/>
  <c r="D63" i="1"/>
  <c r="D64" i="13"/>
  <c r="D63" i="11"/>
  <c r="D42" i="11"/>
  <c r="D99" i="24" l="1"/>
  <c r="D103" i="24"/>
  <c r="D102" i="24"/>
  <c r="D152" i="24"/>
  <c r="D100" i="24"/>
  <c r="D104" i="24"/>
  <c r="D101" i="24"/>
  <c r="D69" i="17"/>
  <c r="D77" i="17" s="1"/>
  <c r="D78" i="17" s="1"/>
  <c r="D103" i="17" s="1"/>
  <c r="D69" i="20"/>
  <c r="D77" i="20" s="1"/>
  <c r="D78" i="20" s="1"/>
  <c r="D43" i="12"/>
  <c r="D55" i="12" s="1"/>
  <c r="D43" i="13"/>
  <c r="D76" i="13" s="1"/>
  <c r="D70" i="12"/>
  <c r="D78" i="12" s="1"/>
  <c r="D70" i="13"/>
  <c r="D78" i="13" s="1"/>
  <c r="D69" i="15"/>
  <c r="D77" i="15" s="1"/>
  <c r="D78" i="15" s="1"/>
  <c r="D69" i="11"/>
  <c r="D77" i="11" s="1"/>
  <c r="D75" i="11"/>
  <c r="D52" i="11"/>
  <c r="D54" i="11"/>
  <c r="D48" i="11"/>
  <c r="D55" i="11"/>
  <c r="D50" i="11"/>
  <c r="D51" i="11"/>
  <c r="D49" i="11"/>
  <c r="D53" i="11"/>
  <c r="C56" i="1"/>
  <c r="C88" i="1" s="1"/>
  <c r="D105" i="24" l="1"/>
  <c r="D118" i="24" s="1"/>
  <c r="D120" i="24" s="1"/>
  <c r="D102" i="17"/>
  <c r="D98" i="17"/>
  <c r="D99" i="17"/>
  <c r="D56" i="13"/>
  <c r="D50" i="13"/>
  <c r="D49" i="13"/>
  <c r="D51" i="13"/>
  <c r="D55" i="13"/>
  <c r="D50" i="12"/>
  <c r="D52" i="12"/>
  <c r="D49" i="12"/>
  <c r="D56" i="12"/>
  <c r="D53" i="12"/>
  <c r="D51" i="12"/>
  <c r="D76" i="12"/>
  <c r="D87" i="12" s="1"/>
  <c r="D101" i="17"/>
  <c r="D104" i="17" s="1"/>
  <c r="D117" i="17" s="1"/>
  <c r="D119" i="17" s="1"/>
  <c r="D154" i="17" s="1"/>
  <c r="D156" i="17" s="1"/>
  <c r="D100" i="17"/>
  <c r="D152" i="17"/>
  <c r="D102" i="20"/>
  <c r="D99" i="20"/>
  <c r="D103" i="20"/>
  <c r="D101" i="20"/>
  <c r="D98" i="20"/>
  <c r="D152" i="20"/>
  <c r="D100" i="20"/>
  <c r="D54" i="13"/>
  <c r="D88" i="11"/>
  <c r="D86" i="11"/>
  <c r="D85" i="11"/>
  <c r="D89" i="11"/>
  <c r="D84" i="11"/>
  <c r="D87" i="11"/>
  <c r="D54" i="12"/>
  <c r="D52" i="13"/>
  <c r="D53" i="13"/>
  <c r="D89" i="13"/>
  <c r="D85" i="13"/>
  <c r="D86" i="13"/>
  <c r="D90" i="13"/>
  <c r="D88" i="13"/>
  <c r="D87" i="13"/>
  <c r="D103" i="15"/>
  <c r="D99" i="15"/>
  <c r="D102" i="15"/>
  <c r="D98" i="15"/>
  <c r="D101" i="15"/>
  <c r="D100" i="15"/>
  <c r="D152" i="15"/>
  <c r="D56" i="11"/>
  <c r="D76" i="11" s="1"/>
  <c r="D78" i="11" s="1"/>
  <c r="C63" i="1"/>
  <c r="C64" i="1"/>
  <c r="D154" i="24" l="1"/>
  <c r="D156" i="24" s="1"/>
  <c r="D136" i="24"/>
  <c r="D137" i="24" s="1"/>
  <c r="D140" i="24" s="1"/>
  <c r="D90" i="12"/>
  <c r="D86" i="12"/>
  <c r="D89" i="12"/>
  <c r="D85" i="12"/>
  <c r="D57" i="12"/>
  <c r="D77" i="12" s="1"/>
  <c r="D79" i="12" s="1"/>
  <c r="D152" i="12" s="1"/>
  <c r="D88" i="12"/>
  <c r="D57" i="13"/>
  <c r="D77" i="13" s="1"/>
  <c r="D79" i="13" s="1"/>
  <c r="D152" i="13" s="1"/>
  <c r="D136" i="17"/>
  <c r="D137" i="17" s="1"/>
  <c r="D142" i="17" s="1"/>
  <c r="D104" i="20"/>
  <c r="D117" i="20" s="1"/>
  <c r="D119" i="20" s="1"/>
  <c r="D90" i="11"/>
  <c r="D152" i="11" s="1"/>
  <c r="D91" i="13"/>
  <c r="D153" i="13" s="1"/>
  <c r="D104" i="15"/>
  <c r="D117" i="15" s="1"/>
  <c r="D119" i="15" s="1"/>
  <c r="D98" i="11"/>
  <c r="D151" i="11"/>
  <c r="D102" i="11"/>
  <c r="D101" i="11"/>
  <c r="C41" i="1"/>
  <c r="D144" i="24" l="1"/>
  <c r="D143" i="24"/>
  <c r="D142" i="24"/>
  <c r="D141" i="24"/>
  <c r="D91" i="12"/>
  <c r="D103" i="12" s="1"/>
  <c r="D99" i="11"/>
  <c r="D99" i="13"/>
  <c r="D102" i="13"/>
  <c r="D100" i="11"/>
  <c r="D103" i="11"/>
  <c r="D154" i="20"/>
  <c r="D156" i="20" s="1"/>
  <c r="D136" i="20"/>
  <c r="D137" i="20" s="1"/>
  <c r="D103" i="13"/>
  <c r="D104" i="13"/>
  <c r="D101" i="13"/>
  <c r="D100" i="13"/>
  <c r="D99" i="12"/>
  <c r="D101" i="12"/>
  <c r="D140" i="17"/>
  <c r="D143" i="17"/>
  <c r="D141" i="17"/>
  <c r="D144" i="17"/>
  <c r="D154" i="15"/>
  <c r="D156" i="15" s="1"/>
  <c r="D136" i="15"/>
  <c r="D137" i="15" s="1"/>
  <c r="D141" i="15" s="1"/>
  <c r="C98" i="1"/>
  <c r="D138" i="24" l="1"/>
  <c r="D145" i="24" s="1"/>
  <c r="D157" i="24" s="1"/>
  <c r="D158" i="24" s="1"/>
  <c r="D159" i="24" s="1"/>
  <c r="D11" i="14" s="1"/>
  <c r="G11" i="14" s="1"/>
  <c r="I11" i="14" s="1"/>
  <c r="I24" i="14" s="1"/>
  <c r="D153" i="12"/>
  <c r="D102" i="12"/>
  <c r="D100" i="12"/>
  <c r="D104" i="11"/>
  <c r="D117" i="11" s="1"/>
  <c r="D119" i="11" s="1"/>
  <c r="D153" i="11" s="1"/>
  <c r="D155" i="11" s="1"/>
  <c r="D104" i="12"/>
  <c r="D105" i="12" s="1"/>
  <c r="D118" i="12" s="1"/>
  <c r="D120" i="12" s="1"/>
  <c r="D136" i="12" s="1"/>
  <c r="D105" i="13"/>
  <c r="D118" i="13" s="1"/>
  <c r="D120" i="13" s="1"/>
  <c r="D154" i="13" s="1"/>
  <c r="D156" i="13" s="1"/>
  <c r="D143" i="20"/>
  <c r="D140" i="20"/>
  <c r="D141" i="20"/>
  <c r="D144" i="20"/>
  <c r="D142" i="20"/>
  <c r="D138" i="17"/>
  <c r="D145" i="17" s="1"/>
  <c r="D157" i="17" s="1"/>
  <c r="D158" i="17" s="1"/>
  <c r="D142" i="15"/>
  <c r="D144" i="15"/>
  <c r="D143" i="15"/>
  <c r="D140" i="15"/>
  <c r="C138" i="1"/>
  <c r="D155" i="1"/>
  <c r="C39" i="1"/>
  <c r="D26" i="1"/>
  <c r="D31" i="1" s="1"/>
  <c r="D160" i="24" l="1"/>
  <c r="D135" i="11"/>
  <c r="D136" i="11" s="1"/>
  <c r="D139" i="11" s="1"/>
  <c r="D136" i="13"/>
  <c r="D137" i="13" s="1"/>
  <c r="D144" i="13" s="1"/>
  <c r="F158" i="17"/>
  <c r="D154" i="12"/>
  <c r="D156" i="12" s="1"/>
  <c r="D138" i="20"/>
  <c r="D145" i="20" s="1"/>
  <c r="D157" i="20" s="1"/>
  <c r="D158" i="20" s="1"/>
  <c r="D159" i="20" s="1"/>
  <c r="D160" i="20" s="1"/>
  <c r="D6" i="14"/>
  <c r="D159" i="17"/>
  <c r="D160" i="17" s="1"/>
  <c r="D138" i="15"/>
  <c r="D145" i="15" s="1"/>
  <c r="D157" i="15" s="1"/>
  <c r="D158" i="15" s="1"/>
  <c r="D137" i="12"/>
  <c r="D111" i="1"/>
  <c r="D118" i="1" s="1"/>
  <c r="D40" i="1"/>
  <c r="D41" i="1"/>
  <c r="D39" i="1"/>
  <c r="D69" i="1"/>
  <c r="D77" i="1" s="1"/>
  <c r="D151" i="1"/>
  <c r="D143" i="11" l="1"/>
  <c r="D142" i="11"/>
  <c r="D141" i="11"/>
  <c r="D140" i="11"/>
  <c r="D142" i="13"/>
  <c r="D143" i="13"/>
  <c r="D140" i="13"/>
  <c r="D141" i="13"/>
  <c r="D8" i="14"/>
  <c r="G8" i="14" s="1"/>
  <c r="I8" i="14" s="1"/>
  <c r="D159" i="15"/>
  <c r="D160" i="15" s="1"/>
  <c r="D141" i="12"/>
  <c r="D140" i="12"/>
  <c r="D142" i="12"/>
  <c r="D143" i="12"/>
  <c r="D144" i="12"/>
  <c r="D42" i="1"/>
  <c r="D137" i="11" l="1"/>
  <c r="D144" i="11" s="1"/>
  <c r="D156" i="11" s="1"/>
  <c r="D157" i="11" s="1"/>
  <c r="D158" i="11" s="1"/>
  <c r="D159" i="11" s="1"/>
  <c r="D138" i="13"/>
  <c r="D145" i="13" s="1"/>
  <c r="D157" i="13" s="1"/>
  <c r="D158" i="13" s="1"/>
  <c r="D12" i="14" s="1"/>
  <c r="D7" i="14"/>
  <c r="G7" i="14" s="1"/>
  <c r="I7" i="14" s="1"/>
  <c r="I20" i="14" s="1"/>
  <c r="D48" i="1"/>
  <c r="D138" i="12"/>
  <c r="D145" i="12" s="1"/>
  <c r="D157" i="12" s="1"/>
  <c r="D158" i="12" s="1"/>
  <c r="D75" i="1"/>
  <c r="D52" i="1"/>
  <c r="D53" i="1"/>
  <c r="D54" i="1"/>
  <c r="D50" i="1"/>
  <c r="D51" i="1"/>
  <c r="D49" i="1"/>
  <c r="D55" i="1"/>
  <c r="D10" i="14" l="1"/>
  <c r="G10" i="14" s="1"/>
  <c r="I10" i="14" s="1"/>
  <c r="D159" i="13"/>
  <c r="D160" i="13" s="1"/>
  <c r="G12" i="14"/>
  <c r="I12" i="14" s="1"/>
  <c r="D159" i="12"/>
  <c r="D160" i="12" s="1"/>
  <c r="D9" i="14"/>
  <c r="G9" i="14" s="1"/>
  <c r="I9" i="14" s="1"/>
  <c r="D85" i="1"/>
  <c r="D87" i="1"/>
  <c r="D84" i="1"/>
  <c r="D88" i="1"/>
  <c r="D86" i="1"/>
  <c r="D89" i="1"/>
  <c r="D56" i="1"/>
  <c r="D76" i="1" s="1"/>
  <c r="D78" i="1" s="1"/>
  <c r="I23" i="14" l="1"/>
  <c r="I25" i="14" s="1"/>
  <c r="D90" i="1"/>
  <c r="D153" i="1" s="1"/>
  <c r="D152" i="1"/>
  <c r="D103" i="1" l="1"/>
  <c r="D99" i="1"/>
  <c r="D98" i="1"/>
  <c r="D102" i="1"/>
  <c r="D100" i="1"/>
  <c r="D101" i="1"/>
  <c r="D104" i="1" l="1"/>
  <c r="D117" i="1" s="1"/>
  <c r="D119" i="1" s="1"/>
  <c r="D154" i="1" l="1"/>
  <c r="D156" i="1" s="1"/>
  <c r="D136" i="1"/>
  <c r="D137" i="1" s="1"/>
  <c r="D142" i="1" s="1"/>
  <c r="D140" i="1" l="1"/>
  <c r="D141" i="1"/>
  <c r="D144" i="1"/>
  <c r="D143" i="1"/>
  <c r="D138" i="1" l="1"/>
  <c r="D145" i="1" s="1"/>
  <c r="D157" i="1" s="1"/>
  <c r="D158" i="1" s="1"/>
  <c r="D5" i="14" s="1"/>
  <c r="D159" i="1" l="1"/>
  <c r="D160" i="1" s="1"/>
  <c r="G5" i="14"/>
  <c r="I5" i="14" s="1"/>
  <c r="G6" i="14"/>
  <c r="I6" i="14" s="1"/>
  <c r="I19" i="14" l="1"/>
  <c r="I21" i="14" s="1"/>
  <c r="I13" i="14"/>
</calcChain>
</file>

<file path=xl/comments1.xml><?xml version="1.0" encoding="utf-8"?>
<comments xmlns="http://schemas.openxmlformats.org/spreadsheetml/2006/main">
  <authors>
    <author>Nathanne Antonia S. de C. Conceição</author>
  </authors>
  <commentList>
    <comment ref="A5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Conforme Código Tributário do Município onde será prestado o serviço</t>
        </r>
      </text>
    </comment>
  </commentList>
</comments>
</file>

<file path=xl/comments10.xml><?xml version="1.0" encoding="utf-8"?>
<comments xmlns="http://schemas.openxmlformats.org/spreadsheetml/2006/main">
  <authors>
    <author>Nathanne Antonia S. de C. Conceição</author>
  </authors>
  <commentList>
    <comment ref="E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Percentual aplicado sobre o salário base do funcionário.</t>
        </r>
      </text>
    </comment>
    <comment ref="E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Aplicado sobre o valor mensal do benefício. Percentual definido na CCT
</t>
        </r>
      </text>
    </comment>
  </commentList>
</comments>
</file>

<file path=xl/comments2.xml><?xml version="1.0" encoding="utf-8"?>
<comments xmlns="http://schemas.openxmlformats.org/spreadsheetml/2006/main">
  <authors>
    <author>Nathanne Antonia S. de C. Conceição</author>
  </authors>
  <commentList>
    <comment ref="C51" authorId="0" shapeId="0">
      <text>
        <r>
          <rPr>
            <b/>
            <sz val="9"/>
            <color indexed="81"/>
            <rFont val="Segoe UI"/>
            <family val="2"/>
          </rPr>
          <t>Apresentar FAPWeb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5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>Conforme IN 05/2017</t>
        </r>
      </text>
    </comment>
    <comment ref="C88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100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3.xml><?xml version="1.0" encoding="utf-8"?>
<comments xmlns="http://schemas.openxmlformats.org/spreadsheetml/2006/main">
  <authors>
    <author>Nathanne Antonia S. de C. Conceição</author>
  </authors>
  <commentList>
    <comment ref="C51" authorId="0" shapeId="0">
      <text>
        <r>
          <rPr>
            <b/>
            <sz val="9"/>
            <color indexed="81"/>
            <rFont val="Segoe UI"/>
            <family val="2"/>
          </rPr>
          <t>Apresentar FAPWeb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5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>Conforme IN 05/2017</t>
        </r>
      </text>
    </comment>
    <comment ref="C88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100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4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family val="2"/>
          </rPr>
          <t>Apresentar FAPWeb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family val="2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5.xml><?xml version="1.0" encoding="utf-8"?>
<comments xmlns="http://schemas.openxmlformats.org/spreadsheetml/2006/main">
  <authors>
    <author>Nathanne Antonia S. de C. Conceição</author>
  </authors>
  <commentList>
    <comment ref="C27" authorId="0" shapeId="0">
      <text>
        <r>
          <rPr>
            <sz val="9"/>
            <color indexed="81"/>
            <rFont val="Segoe UI"/>
            <family val="2"/>
          </rPr>
          <t xml:space="preserve">Fluxo:
Até 20 - 10%
Até 40 - 20%
Até 60 - 30%
Acima de 60 - 40%
</t>
        </r>
      </text>
    </comment>
    <comment ref="C50" authorId="0" shapeId="0">
      <text>
        <r>
          <rPr>
            <b/>
            <sz val="9"/>
            <color indexed="81"/>
            <rFont val="Segoe UI"/>
            <family val="2"/>
          </rPr>
          <t>Apresentar FAPWeb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family val="2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6.xml><?xml version="1.0" encoding="utf-8"?>
<comments xmlns="http://schemas.openxmlformats.org/spreadsheetml/2006/main">
  <authors>
    <author>Nathanne Antonia S. de C. Conceição</author>
  </authors>
  <commentList>
    <comment ref="C27" authorId="0" shapeId="0">
      <text>
        <r>
          <rPr>
            <sz val="9"/>
            <color indexed="81"/>
            <rFont val="Segoe UI"/>
            <family val="2"/>
          </rPr>
          <t xml:space="preserve">Fluxo:
Até 20 - 10%
Até 40 - 20%
Até 60 - 30%
Acima de 60 - 40%
</t>
        </r>
      </text>
    </comment>
    <comment ref="C50" authorId="0" shapeId="0">
      <text>
        <r>
          <rPr>
            <b/>
            <sz val="9"/>
            <color indexed="81"/>
            <rFont val="Segoe UI"/>
            <family val="2"/>
          </rPr>
          <t>Apresentar FAPWeb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family val="2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7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family val="2"/>
          </rPr>
          <t>Apresentar FAPWeb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family val="2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8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family val="2"/>
          </rPr>
          <t>Apresentar FAPWeb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family val="2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9.xml><?xml version="1.0" encoding="utf-8"?>
<comments xmlns="http://schemas.openxmlformats.org/spreadsheetml/2006/main">
  <authors>
    <author>Nathanne Antonia S. de C. Conceição</author>
  </authors>
  <commentList>
    <comment ref="C51" authorId="0" shapeId="0">
      <text>
        <r>
          <rPr>
            <b/>
            <sz val="9"/>
            <color indexed="81"/>
            <rFont val="Segoe UI"/>
            <family val="2"/>
          </rPr>
          <t>Apresentar FAPWeb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5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>Conforme IN 05/2017</t>
        </r>
      </text>
    </comment>
    <comment ref="C88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100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sharedStrings.xml><?xml version="1.0" encoding="utf-8"?>
<sst xmlns="http://schemas.openxmlformats.org/spreadsheetml/2006/main" count="2569" uniqueCount="319">
  <si>
    <t>PLANILHA DE CUSTOS E FORMAÇÃO DE PREÇOS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</si>
  <si>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</si>
  <si>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</si>
  <si>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</si>
  <si>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</si>
  <si>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</si>
  <si>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</si>
  <si>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</si>
  <si>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</si>
  <si>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</si>
  <si>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</si>
  <si>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</si>
  <si>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</si>
  <si>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</si>
  <si>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G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</si>
  <si>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</si>
  <si>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</si>
  <si>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</si>
  <si>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</si>
  <si>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</si>
  <si>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</si>
  <si>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</si>
  <si>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</si>
  <si>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</si>
  <si>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</si>
  <si>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</si>
  <si>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</si>
  <si>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SESC ou SESI</t>
  </si>
  <si>
    <t>SENAI - SENAC</t>
  </si>
  <si>
    <t>F</t>
  </si>
  <si>
    <t>SEBRAE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</si>
  <si>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</si>
  <si>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</si>
  <si>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</si>
  <si>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</si>
  <si>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</si>
  <si>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</si>
  <si>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</si>
  <si>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Auxílio-Refeição/Alimentação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</si>
  <si>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</si>
  <si>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</si>
  <si>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</si>
  <si>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</si>
  <si>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</si>
  <si>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</si>
  <si>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Aviso Prévio Trabalhado</t>
  </si>
  <si>
    <t>Incidência dos encargos do submódulo 2.2 sobre o Aviso Prévio Trabalhado</t>
  </si>
  <si>
    <t>Módulo 4 - Custo de Reposição do Profissional Ausente</t>
  </si>
  <si>
    <t>Submódulo 4.1 - Ausências Legais</t>
  </si>
  <si>
    <t>4.1</t>
  </si>
  <si>
    <t>Ausências Legais</t>
  </si>
  <si>
    <t>Férias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</si>
  <si>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</si>
  <si>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</si>
  <si>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</si>
  <si>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</si>
  <si>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</si>
  <si>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</si>
  <si>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</si>
  <si>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</si>
  <si>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</si>
  <si>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</si>
  <si>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</si>
  <si>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</si>
  <si>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</si>
  <si>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</si>
  <si>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Módulo 6 - Custos Indiretos, Tributos e Lucro</t>
  </si>
  <si>
    <t>Custos Indiretos, Tributos e Lucro</t>
  </si>
  <si>
    <t>Custos Indiretos</t>
  </si>
  <si>
    <t>Lucro</t>
  </si>
  <si>
    <t>C.1. Tributos Federais (especificar)</t>
  </si>
  <si>
    <t>C.2. Tributos Estaduais (especificar)</t>
  </si>
  <si>
    <t>C.3. Tributos Municipais (especificar)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</si>
  <si>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</si>
  <si>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</si>
  <si>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</si>
  <si>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</si>
  <si>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</si>
  <si>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IDENTIFICAÇÃO DOS SERVIÇOS</t>
  </si>
  <si>
    <t>Tipo de Serviço</t>
  </si>
  <si>
    <t>Unidade de medida</t>
  </si>
  <si>
    <t>Quantidade total a contratar</t>
  </si>
  <si>
    <t>POSTO</t>
  </si>
  <si>
    <t>Valor Total Mensal</t>
  </si>
  <si>
    <t>Valor Total Anual</t>
  </si>
  <si>
    <t>Optante pelo Simples Nacional</t>
  </si>
  <si>
    <t>Adicional de Férias</t>
  </si>
  <si>
    <t>PIS</t>
  </si>
  <si>
    <t>COFINS</t>
  </si>
  <si>
    <t>ISS</t>
  </si>
  <si>
    <t>Observações</t>
  </si>
  <si>
    <t>Item</t>
  </si>
  <si>
    <t>Descrição</t>
  </si>
  <si>
    <t>Qtde Anual</t>
  </si>
  <si>
    <t>Valor unitário</t>
  </si>
  <si>
    <t>Valor Total</t>
  </si>
  <si>
    <t>Valor mensal</t>
  </si>
  <si>
    <t>Valor Unitário</t>
  </si>
  <si>
    <t>Qtde por posto</t>
  </si>
  <si>
    <t>Valor total da aquisição</t>
  </si>
  <si>
    <t>Vida útil (Meses)</t>
  </si>
  <si>
    <t>Valor Residual (20%)</t>
  </si>
  <si>
    <t>Valor Depreciável</t>
  </si>
  <si>
    <t>Custo Mensal</t>
  </si>
  <si>
    <t>Limpeza e Conservação Predial</t>
  </si>
  <si>
    <t>Gratificação por assiduidade</t>
  </si>
  <si>
    <t>Cesta básica</t>
  </si>
  <si>
    <t>Nº Processo:</t>
  </si>
  <si>
    <t>Nº Licitação:</t>
  </si>
  <si>
    <t>Data de apresentação da proposta (dia/mês/ano)</t>
  </si>
  <si>
    <t>Município/UF</t>
  </si>
  <si>
    <t>Ano Acordo, Convenção ou Sentença Normativa em Dissídio Coletivo</t>
  </si>
  <si>
    <t>Nº de meses de execução contratual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</si>
  <si>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</si>
  <si>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</si>
  <si>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</si>
  <si>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</si>
  <si>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 base da categoria (dia/mês/ano)</t>
  </si>
  <si>
    <t>Tributos</t>
  </si>
  <si>
    <t>Multa do FGTS sobre o Aviso Prévio Indenizado e sobre o Aviso Prévio Trabalhado</t>
  </si>
  <si>
    <t>Vale Transporte</t>
  </si>
  <si>
    <t>Benefício</t>
  </si>
  <si>
    <t>44h</t>
  </si>
  <si>
    <t>40h</t>
  </si>
  <si>
    <t>Jornada:</t>
  </si>
  <si>
    <t>Qtde de dias</t>
  </si>
  <si>
    <t>Qtde por dia</t>
  </si>
  <si>
    <t>Valor Total no mês</t>
  </si>
  <si>
    <t>Percentual de desconto</t>
  </si>
  <si>
    <t>Base Legal</t>
  </si>
  <si>
    <t>Art. 7º, VIII, CF/88</t>
  </si>
  <si>
    <t>Art. 2°, § 3º, da Lei 11.457, de 16 de março
de 2007.</t>
  </si>
  <si>
    <t>Art. 3º, Inciso I, Decreto 87.043, de 22 de
março de 1982.</t>
  </si>
  <si>
    <t>Anexo V do Decreto nº 3.048/1999 para o RAT</t>
  </si>
  <si>
    <t>SAT/FAP/RAT Ajustado</t>
  </si>
  <si>
    <t>Art. 30, Lei 8.036, de 11 de maio de 1990</t>
  </si>
  <si>
    <t>Art. 1º, caput, Decreto-Lei 6.246, de 1944
(SENAI) e art. 4º, caput do Decreto-Lei
8.621, de 1946. (SENAC).</t>
  </si>
  <si>
    <t>Art. 8º, Lei 8.029, de 12 de abril de 1990.</t>
  </si>
  <si>
    <t>Art. 1°, I, 2 c/c art. 3°, ambos do Decreto-Lei 1.146, de 31 de dezembro de 1970.</t>
  </si>
  <si>
    <t>O valor da dedução do vale transporte está de acordo com o art. 4º, parágrafo único da Lei 7.418, de 16 de dezembro de 1985 (desconto máximo de 6% do salário-base)</t>
  </si>
  <si>
    <t>CCT vigente da categoria</t>
  </si>
  <si>
    <t>Art. 7º, XXI,CF/88, 477, 487 e ss. CLT</t>
  </si>
  <si>
    <t>Art. 18, §1º da Lei 8.036/90</t>
  </si>
  <si>
    <t>Art. 7º, XVII, CF/88</t>
  </si>
  <si>
    <t>Art. 7º, XXI, CF/88, 477, 487 e ss. da CLT</t>
  </si>
  <si>
    <t>Art. 473 da CLT</t>
  </si>
  <si>
    <t>Art. 7º, XIX, CF/88 e 10, §1º, da ADCT</t>
  </si>
  <si>
    <t>Art. 19 a 23 da Lei nº 8.213/91</t>
  </si>
  <si>
    <t>Art. 392 da CLT</t>
  </si>
  <si>
    <t>Art. 15, Lei nº 8.036/90 e Art. 7º, III, CF.</t>
  </si>
  <si>
    <t>Art. 7º, VIII, CF/89</t>
  </si>
  <si>
    <t>Súmula nº 305 do TST</t>
  </si>
  <si>
    <t>Conforme item 2.2</t>
  </si>
  <si>
    <t>Servente de Limpeza</t>
  </si>
  <si>
    <t>Ausência por doença</t>
  </si>
  <si>
    <t>EPI's</t>
  </si>
  <si>
    <t>Função</t>
  </si>
  <si>
    <t>Copeira</t>
  </si>
  <si>
    <t>Jardineiro</t>
  </si>
  <si>
    <t>Auxiliar de Jardinagem</t>
  </si>
  <si>
    <t>3. Quadro-resumo do VALOR MENSAL DOS SERVIÇOS</t>
  </si>
  <si>
    <t>Tipo de serviço</t>
  </si>
  <si>
    <t>Valor proposto por empregado</t>
  </si>
  <si>
    <t>Qtde de empregados por posto</t>
  </si>
  <si>
    <t>Valor proposto por posto</t>
  </si>
  <si>
    <t>Qtde de postos</t>
  </si>
  <si>
    <t>Valor total do serviço</t>
  </si>
  <si>
    <t>(A)</t>
  </si>
  <si>
    <t>(B)</t>
  </si>
  <si>
    <t>(C)</t>
  </si>
  <si>
    <t>(D) = (B x C)</t>
  </si>
  <si>
    <t>(E)</t>
  </si>
  <si>
    <t>(F) = (D x E)</t>
  </si>
  <si>
    <t>I</t>
  </si>
  <si>
    <t>R$</t>
  </si>
  <si>
    <t>II</t>
  </si>
  <si>
    <t>Valor mensal dos serviços</t>
  </si>
  <si>
    <t>4. Quadro demonstrativo do VALOR GLOBAL DA PROPOSTA</t>
  </si>
  <si>
    <t>Valor Global da Proposta</t>
  </si>
  <si>
    <t>Valor mensal do serviço</t>
  </si>
  <si>
    <t>Encargos previdenciários e FGTS</t>
  </si>
  <si>
    <t>Valor global da proposta (valor mensal do serviço multiplicado pelo número de meses do contrato).</t>
  </si>
  <si>
    <t>Afastamento maternidade</t>
  </si>
  <si>
    <t>III</t>
  </si>
  <si>
    <t>IV</t>
  </si>
  <si>
    <t>Líder</t>
  </si>
  <si>
    <t>V</t>
  </si>
  <si>
    <t>Lote 01 - Limpeza</t>
  </si>
  <si>
    <t>Lote 02 - Jardinagem</t>
  </si>
  <si>
    <t>Nº de Empregados por posto</t>
  </si>
  <si>
    <t>Apresentar composição detalhada</t>
  </si>
  <si>
    <t>Outros(especificar)</t>
  </si>
  <si>
    <t>Outros (especificar)</t>
  </si>
  <si>
    <t>Outros(Especificar)</t>
  </si>
  <si>
    <t>Base utiliza a depreciação.</t>
  </si>
  <si>
    <t>Salário Mínimo Vigente:</t>
  </si>
  <si>
    <t>Unidade</t>
  </si>
  <si>
    <t>Qtde médio Mensal</t>
  </si>
  <si>
    <t>ANEXO II-XVI - MODELO TRIBUTOS</t>
  </si>
  <si>
    <t>Apuração dos percentuais de PIS e COFINS (somente para empresas tributadas pelo lucro real)</t>
  </si>
  <si>
    <t>Apuração do percentual médio de recolhimento do PIS</t>
  </si>
  <si>
    <t>Mês</t>
  </si>
  <si>
    <t>Faturamento mensal</t>
  </si>
  <si>
    <t>Contribuição apurada</t>
  </si>
  <si>
    <t>Crédito Descontado</t>
  </si>
  <si>
    <t>Contribuição Devida</t>
  </si>
  <si>
    <t>Percentual Efetivo</t>
  </si>
  <si>
    <t>Recibo, Registro M210, M200,M600, M610 dos últimos 12 meses</t>
  </si>
  <si>
    <t>B = A * 1,65%</t>
  </si>
  <si>
    <t>D = B - C</t>
  </si>
  <si>
    <t>E =  D/A</t>
  </si>
  <si>
    <t>Percentual médio do período</t>
  </si>
  <si>
    <t>Apuração do percentual médio de recolhimento do COFINS</t>
  </si>
  <si>
    <t>B = A * 7,60%</t>
  </si>
  <si>
    <t>Servente de Limpeza - Banheiro</t>
  </si>
  <si>
    <t>PCMSO</t>
  </si>
  <si>
    <t>VI</t>
  </si>
  <si>
    <t>Gratificação a Copeira (30%)</t>
  </si>
  <si>
    <t>Clásula Décima Primeira</t>
  </si>
  <si>
    <t>Clásula Décima Terceira, §1º a §4º</t>
  </si>
  <si>
    <t>Clásula Décima Quinta</t>
  </si>
  <si>
    <t>Balde plástico preto com capacidade p/12 litros</t>
  </si>
  <si>
    <t>Desentupidor de vaso sanitário</t>
  </si>
  <si>
    <t>Escada de 10 (dez) degraus</t>
  </si>
  <si>
    <t>Espanador de Penas 65cm</t>
  </si>
  <si>
    <t>Escova de Lavar Roupa</t>
  </si>
  <si>
    <t>Escova para lavar vaso sanitário</t>
  </si>
  <si>
    <t>Escovão Bandeirantes</t>
  </si>
  <si>
    <t>Kit completo para limpeza de vidros</t>
  </si>
  <si>
    <t>Rodo Plástico 60cm com cabo</t>
  </si>
  <si>
    <t>Rodo Plástico 40cm com cabo</t>
  </si>
  <si>
    <t>Rodo Limpa Vidro 2 em 1</t>
  </si>
  <si>
    <t>Rodo de borracha dupla de 40 cm com cabo dede 120 cm</t>
  </si>
  <si>
    <t>Rodo de borracha dupla de 60 cm com cabo de madeira de 120 cm</t>
  </si>
  <si>
    <t>Pá de lixo, em plástico, com cabo longo</t>
  </si>
  <si>
    <t>Placas sinalizadoras "Piso Molhado"</t>
  </si>
  <si>
    <t>Vassoura c/ Cerda Sintética de 40 cm</t>
  </si>
  <si>
    <t>Vassoura de Piaçava com cabo</t>
  </si>
  <si>
    <t>Vassoura de teto vasculha com cabo</t>
  </si>
  <si>
    <t>Unidade(s)</t>
  </si>
  <si>
    <t>Crachá com foto e logo da empresa</t>
  </si>
  <si>
    <t>Valor Total da Diária</t>
  </si>
  <si>
    <t>Considera 22 dias</t>
  </si>
  <si>
    <t>RBT dos últimos 12 meses</t>
  </si>
  <si>
    <t>Anexo IV – Serviços</t>
  </si>
  <si>
    <t>Faixa que se enquadra</t>
  </si>
  <si>
    <t>Alíquota nominal</t>
  </si>
  <si>
    <t>Estão incluídas empresas de limpeza, vigilância, construção de imóveis e serviços advocatícios, entre outros (lista completa do Anexo IV está no § 5º-C do artigo 18 da Lei Complementar 123).</t>
  </si>
  <si>
    <t>Parcela a deduzir</t>
  </si>
  <si>
    <t>Alíquota Efetiva TOTAL</t>
  </si>
  <si>
    <t>Faixa</t>
  </si>
  <si>
    <t>Faturamento anual (R$)</t>
  </si>
  <si>
    <t>Coluna1</t>
  </si>
  <si>
    <t>Alíquota (%)</t>
  </si>
  <si>
    <t>Valor a Deduzir (R$)</t>
  </si>
  <si>
    <t>Alíquota Efetiva PIS</t>
  </si>
  <si>
    <t>Alíquota Efetiva COFINS</t>
  </si>
  <si>
    <t>Alíquota Efetiva ISS</t>
  </si>
  <si>
    <t>Percentual de Repartição dos Tributos</t>
  </si>
  <si>
    <t>CSLL</t>
  </si>
  <si>
    <t>IRPJ</t>
  </si>
  <si>
    <t>Cofins</t>
  </si>
  <si>
    <t>PIS/Pasep</t>
  </si>
  <si>
    <t>–</t>
  </si>
  <si>
    <t>5a Faixa, com alíquota efetiva superior a 12,5%</t>
  </si>
  <si>
    <t xml:space="preserve"> </t>
  </si>
  <si>
    <t>Simples Nacional</t>
  </si>
  <si>
    <t>Lucro Presumido</t>
  </si>
  <si>
    <t>Regime Tributário:</t>
  </si>
  <si>
    <t>Lucro Real</t>
  </si>
  <si>
    <t>Alíquota do ISS</t>
  </si>
  <si>
    <t>VII</t>
  </si>
  <si>
    <t>Jardineiro - Diária</t>
  </si>
  <si>
    <t>Servente de Limpeza - Diária</t>
  </si>
  <si>
    <t>VIII</t>
  </si>
  <si>
    <t>Valor global das diárias (valor da diária multiplicado pelo quantidade de diárias estimadas).</t>
  </si>
  <si>
    <t>Utensílios</t>
  </si>
  <si>
    <t>Adaptador L/R ,atender os itens 11 e 12 modelo 
referência Sisson ou similar</t>
  </si>
  <si>
    <t>Cabo telescópico de 5m</t>
  </si>
  <si>
    <t>Carrinho de mão (pneu com câmara)</t>
  </si>
  <si>
    <t>Cavadeira articulada e reta com cabo</t>
  </si>
  <si>
    <t>Enxada com cabo (tamanho médio)</t>
  </si>
  <si>
    <t>Enxadinha com sacho duplo</t>
  </si>
  <si>
    <t>Facão (médio)</t>
  </si>
  <si>
    <t>Fio de Nylon p/ Roçadeira Rolo 50 metros</t>
  </si>
  <si>
    <t>Machado</t>
  </si>
  <si>
    <t>Mangueira de "1 polegada de" 50 m para lavagem de 
piso e regar plantas</t>
  </si>
  <si>
    <t>Mangueira de “1 polegada de " 100 m para lavagem de 
piso regar plantas</t>
  </si>
  <si>
    <t>Picareta com cabo</t>
  </si>
  <si>
    <t>Podador de galhos à gasolina com extensor, modelo 
referência Hitachi, stihl ou similar)</t>
  </si>
  <si>
    <t>Podador ou aparador de cerca viva com extensor, à 
gasolina , modelo referência Hitachi, stihl ou similar)</t>
  </si>
  <si>
    <t>Pulverizador, cilindro metálico entre 18 a 20 litros</t>
  </si>
  <si>
    <t>Rastelo para jardim</t>
  </si>
  <si>
    <t>Rastelo Pavão de Ferro Tamanho Grande com cabo</t>
  </si>
  <si>
    <t>Redução para atender os itens 11 e 12</t>
  </si>
  <si>
    <t>Roçadeira com fio de nylon (a gasolina) , com ignição 
eletrônica, sistema anti-vibratório e cinturão e óculos de 
proteção, modelo referência sthil FS 220 ou similar</t>
  </si>
  <si>
    <t>Serrote para poda nº 12</t>
  </si>
  <si>
    <t>Soprador de folhas a gasolina modelo de referência sthil 
ou similar</t>
  </si>
  <si>
    <t>Tesoura grande e tesoura pequena para poda das 
plantas diversas</t>
  </si>
  <si>
    <t>Vassourão Gari</t>
  </si>
  <si>
    <t>Herbicida Mata Mato</t>
  </si>
  <si>
    <t>Veneno para formigas</t>
  </si>
  <si>
    <t>Herbicida para matar “mata mato” Marca de 
referência Rodilon Isca Bloco Extrusado Bayer 1 
Kg</t>
  </si>
  <si>
    <t>Calça comprida em tecido brim, com bolsos tipo sacola 32 cm nas laterais</t>
  </si>
  <si>
    <t>Camiseta malha fria PV, manga longa, gola V, com emblema da empresa</t>
  </si>
  <si>
    <t>Botina de couro</t>
  </si>
  <si>
    <t>Par</t>
  </si>
  <si>
    <t>Boné confeccionado em tecido de brim, com abas laterais, com logomarca da empresa.</t>
  </si>
  <si>
    <t>Meia de algodão preta.</t>
  </si>
  <si>
    <t>Avental impermavel de Jardinagem</t>
  </si>
  <si>
    <t>Bota PVC c/forro cor preta c/solado 
especial cor amarelo ou branca</t>
  </si>
  <si>
    <t>Chapéu apropriado para jardim com 
abas na lateral para proteção do sol</t>
  </si>
  <si>
    <t>Luva PVC sem forro com 46 cm</t>
  </si>
  <si>
    <t>Luva raspa couro cano curto c/reforço</t>
  </si>
  <si>
    <t>Máscara de proteção respiratória c/filtro 
de carvão ativado para uso com 
produtos químicos</t>
  </si>
  <si>
    <t>Máscara descartável p/poeiras e névoas 
tóxicas</t>
  </si>
  <si>
    <t>Óculos de proteção lente incolor em 
policarbonato, ante embaçante e antirisco</t>
  </si>
  <si>
    <t>Protetor auricular tipo plug em silicone</t>
  </si>
  <si>
    <t>Protetor solar fator 50 com 400ml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</si>
</sst>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26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43" fontId="6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9" fontId="7" fillId="0" borderId="4" xfId="2" applyFont="1" applyBorder="1" applyAlignment="1">
      <alignment horizontal="center" vertical="center" wrapText="1"/>
    </xf>
    <xf numFmtId="10" fontId="7" fillId="0" borderId="4" xfId="2" applyNumberFormat="1" applyFont="1" applyBorder="1" applyAlignment="1">
      <alignment horizontal="center" vertical="center" wrapText="1"/>
    </xf>
    <xf numFmtId="0" fontId="7" fillId="0" borderId="0" xfId="0" applyFont="1"/>
    <xf numFmtId="0" fontId="8" fillId="4" borderId="0" xfId="0" applyFont="1" applyFill="1"/>
    <xf numFmtId="10" fontId="7" fillId="0" borderId="4" xfId="2" applyNumberFormat="1" applyFont="1" applyBorder="1"/>
    <xf numFmtId="10" fontId="7" fillId="0" borderId="4" xfId="2" applyNumberFormat="1" applyFont="1" applyBorder="1" applyAlignment="1">
      <alignment horizontal="center"/>
    </xf>
    <xf numFmtId="164" fontId="7" fillId="0" borderId="4" xfId="2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 wrapText="1"/>
    </xf>
    <xf numFmtId="43" fontId="2" fillId="0" borderId="0" xfId="1" applyFont="1"/>
    <xf numFmtId="0" fontId="2" fillId="0" borderId="4" xfId="0" applyFont="1" applyBorder="1"/>
    <xf numFmtId="43" fontId="2" fillId="0" borderId="4" xfId="0" applyNumberFormat="1" applyFont="1" applyBorder="1"/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5" borderId="4" xfId="0" applyFont="1" applyFill="1" applyBorder="1"/>
    <xf numFmtId="43" fontId="4" fillId="5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0" fontId="7" fillId="2" borderId="4" xfId="2" applyNumberFormat="1" applyFont="1" applyFill="1" applyBorder="1" applyAlignment="1">
      <alignment horizontal="center" vertical="center" wrapText="1"/>
    </xf>
    <xf numFmtId="9" fontId="7" fillId="0" borderId="4" xfId="2" applyNumberFormat="1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0" fontId="6" fillId="0" borderId="4" xfId="1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Font="1"/>
    <xf numFmtId="0" fontId="13" fillId="0" borderId="0" xfId="0" applyFont="1" applyAlignment="1">
      <alignment horizontal="center" vertical="center" wrapText="1"/>
    </xf>
    <xf numFmtId="43" fontId="0" fillId="0" borderId="0" xfId="1" applyFont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9" fontId="16" fillId="0" borderId="4" xfId="0" applyNumberFormat="1" applyFont="1" applyBorder="1" applyAlignment="1">
      <alignment horizontal="center"/>
    </xf>
    <xf numFmtId="43" fontId="16" fillId="0" borderId="4" xfId="1" applyFont="1" applyBorder="1" applyAlignment="1">
      <alignment horizontal="center"/>
    </xf>
    <xf numFmtId="0" fontId="15" fillId="6" borderId="4" xfId="0" applyFont="1" applyFill="1" applyBorder="1" applyAlignment="1">
      <alignment horizontal="center" vertical="center" wrapText="1"/>
    </xf>
    <xf numFmtId="43" fontId="15" fillId="6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7" fillId="0" borderId="5" xfId="0" applyFont="1" applyBorder="1"/>
    <xf numFmtId="43" fontId="2" fillId="0" borderId="0" xfId="0" applyNumberFormat="1" applyFont="1"/>
    <xf numFmtId="0" fontId="4" fillId="6" borderId="4" xfId="0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7" fillId="0" borderId="4" xfId="0" applyFont="1" applyFill="1" applyBorder="1" applyAlignment="1">
      <alignment horizontal="center" wrapText="1"/>
    </xf>
    <xf numFmtId="0" fontId="17" fillId="0" borderId="4" xfId="0" applyFont="1" applyFill="1" applyBorder="1" applyAlignment="1">
      <alignment horizontal="center" vertical="top" wrapText="1"/>
    </xf>
    <xf numFmtId="44" fontId="7" fillId="0" borderId="4" xfId="0" applyNumberFormat="1" applyFont="1" applyBorder="1" applyAlignment="1">
      <alignment horizontal="center"/>
    </xf>
    <xf numFmtId="44" fontId="17" fillId="0" borderId="4" xfId="0" applyNumberFormat="1" applyFont="1" applyFill="1" applyBorder="1" applyAlignment="1">
      <alignment horizontal="center" vertical="top" wrapText="1"/>
    </xf>
    <xf numFmtId="0" fontId="7" fillId="0" borderId="4" xfId="0" applyFont="1" applyBorder="1" applyAlignment="1"/>
    <xf numFmtId="0" fontId="6" fillId="5" borderId="4" xfId="0" applyFont="1" applyFill="1" applyBorder="1" applyAlignment="1">
      <alignment horizontal="center"/>
    </xf>
    <xf numFmtId="43" fontId="7" fillId="0" borderId="4" xfId="0" applyNumberFormat="1" applyFont="1" applyBorder="1" applyAlignment="1">
      <alignment horizontal="center"/>
    </xf>
    <xf numFmtId="1" fontId="17" fillId="0" borderId="4" xfId="0" applyNumberFormat="1" applyFont="1" applyFill="1" applyBorder="1" applyAlignment="1">
      <alignment horizontal="center" vertical="top" wrapText="1"/>
    </xf>
    <xf numFmtId="44" fontId="18" fillId="0" borderId="4" xfId="0" applyNumberFormat="1" applyFont="1" applyFill="1" applyBorder="1" applyAlignment="1">
      <alignment horizontal="center" vertical="top" wrapText="1"/>
    </xf>
    <xf numFmtId="44" fontId="7" fillId="0" borderId="4" xfId="0" applyNumberFormat="1" applyFont="1" applyBorder="1" applyAlignment="1"/>
    <xf numFmtId="44" fontId="6" fillId="0" borderId="4" xfId="0" applyNumberFormat="1" applyFont="1" applyBorder="1" applyAlignment="1"/>
    <xf numFmtId="10" fontId="7" fillId="0" borderId="4" xfId="2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/>
    <xf numFmtId="43" fontId="11" fillId="0" borderId="0" xfId="1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19" fillId="0" borderId="0" xfId="4"/>
    <xf numFmtId="0" fontId="22" fillId="4" borderId="4" xfId="5" applyFont="1" applyFill="1" applyBorder="1" applyAlignment="1">
      <alignment horizontal="center" vertical="center" wrapText="1"/>
    </xf>
    <xf numFmtId="44" fontId="22" fillId="4" borderId="4" xfId="5" applyNumberFormat="1" applyFont="1" applyFill="1" applyBorder="1" applyAlignment="1">
      <alignment horizontal="center" wrapText="1"/>
    </xf>
    <xf numFmtId="0" fontId="22" fillId="4" borderId="4" xfId="5" applyFont="1" applyFill="1" applyBorder="1" applyAlignment="1">
      <alignment horizontal="center" wrapText="1"/>
    </xf>
    <xf numFmtId="17" fontId="21" fillId="0" borderId="4" xfId="5" applyNumberFormat="1" applyFont="1" applyFill="1" applyBorder="1"/>
    <xf numFmtId="44" fontId="21" fillId="0" borderId="4" xfId="5" applyNumberFormat="1" applyFont="1" applyBorder="1" applyAlignment="1">
      <alignment horizontal="center"/>
    </xf>
    <xf numFmtId="0" fontId="21" fillId="0" borderId="4" xfId="5" applyFont="1" applyBorder="1" applyAlignment="1">
      <alignment horizontal="center"/>
    </xf>
    <xf numFmtId="165" fontId="21" fillId="0" borderId="4" xfId="6" applyFont="1" applyFill="1" applyBorder="1"/>
    <xf numFmtId="43" fontId="21" fillId="0" borderId="4" xfId="5" applyNumberFormat="1" applyFont="1" applyFill="1" applyBorder="1"/>
    <xf numFmtId="166" fontId="21" fillId="0" borderId="4" xfId="7" applyFont="1" applyFill="1" applyBorder="1"/>
    <xf numFmtId="10" fontId="21" fillId="0" borderId="4" xfId="8" applyNumberFormat="1" applyFont="1" applyFill="1" applyBorder="1"/>
    <xf numFmtId="44" fontId="21" fillId="0" borderId="4" xfId="7" applyNumberFormat="1" applyFont="1" applyFill="1" applyBorder="1"/>
    <xf numFmtId="165" fontId="1" fillId="0" borderId="0" xfId="6" applyFont="1"/>
    <xf numFmtId="10" fontId="22" fillId="4" borderId="4" xfId="5" applyNumberFormat="1" applyFont="1" applyFill="1" applyBorder="1" applyAlignment="1">
      <alignment vertical="center"/>
    </xf>
    <xf numFmtId="0" fontId="21" fillId="0" borderId="0" xfId="5" applyFont="1"/>
    <xf numFmtId="44" fontId="21" fillId="0" borderId="0" xfId="5" applyNumberFormat="1" applyFont="1"/>
    <xf numFmtId="44" fontId="22" fillId="4" borderId="4" xfId="5" applyNumberFormat="1" applyFont="1" applyFill="1" applyBorder="1" applyAlignment="1">
      <alignment horizontal="center" vertical="center" wrapText="1"/>
    </xf>
    <xf numFmtId="0" fontId="21" fillId="0" borderId="4" xfId="5" applyFont="1" applyBorder="1"/>
    <xf numFmtId="44" fontId="19" fillId="0" borderId="4" xfId="4" applyNumberFormat="1" applyFont="1" applyBorder="1"/>
    <xf numFmtId="10" fontId="22" fillId="4" borderId="0" xfId="5" applyNumberFormat="1" applyFont="1" applyFill="1" applyBorder="1"/>
    <xf numFmtId="0" fontId="19" fillId="4" borderId="0" xfId="4" applyFill="1"/>
    <xf numFmtId="0" fontId="21" fillId="4" borderId="0" xfId="3" applyFont="1" applyFill="1"/>
    <xf numFmtId="44" fontId="21" fillId="4" borderId="0" xfId="3" applyNumberFormat="1" applyFont="1" applyFill="1"/>
    <xf numFmtId="10" fontId="23" fillId="4" borderId="0" xfId="3" applyNumberFormat="1" applyFont="1" applyFill="1"/>
    <xf numFmtId="0" fontId="19" fillId="0" borderId="0" xfId="3"/>
    <xf numFmtId="44" fontId="19" fillId="0" borderId="0" xfId="3" applyNumberFormat="1"/>
    <xf numFmtId="14" fontId="19" fillId="0" borderId="0" xfId="4" applyNumberFormat="1"/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4" xfId="0" applyBorder="1"/>
    <xf numFmtId="43" fontId="0" fillId="0" borderId="4" xfId="1" applyFont="1" applyBorder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22" fillId="4" borderId="0" xfId="5" applyFont="1" applyFill="1" applyBorder="1" applyAlignment="1">
      <alignment horizontal="left"/>
    </xf>
    <xf numFmtId="0" fontId="22" fillId="4" borderId="0" xfId="5" applyFont="1" applyFill="1" applyBorder="1" applyAlignment="1">
      <alignment horizontal="center"/>
    </xf>
    <xf numFmtId="0" fontId="0" fillId="0" borderId="4" xfId="0" applyFont="1" applyBorder="1"/>
    <xf numFmtId="43" fontId="0" fillId="0" borderId="4" xfId="1" applyNumberFormat="1" applyFont="1" applyBorder="1" applyAlignment="1">
      <alignment horizontal="center"/>
    </xf>
    <xf numFmtId="0" fontId="0" fillId="7" borderId="4" xfId="0" applyFont="1" applyFill="1" applyBorder="1"/>
    <xf numFmtId="167" fontId="0" fillId="7" borderId="4" xfId="1" applyNumberFormat="1" applyFont="1" applyFill="1" applyBorder="1" applyAlignment="1"/>
    <xf numFmtId="43" fontId="0" fillId="7" borderId="4" xfId="1" applyNumberFormat="1" applyFont="1" applyFill="1" applyBorder="1" applyAlignment="1">
      <alignment horizontal="center"/>
    </xf>
    <xf numFmtId="10" fontId="0" fillId="0" borderId="0" xfId="2" applyNumberFormat="1" applyFont="1"/>
    <xf numFmtId="0" fontId="0" fillId="0" borderId="9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3" fontId="0" fillId="0" borderId="6" xfId="0" applyNumberFormat="1" applyBorder="1"/>
    <xf numFmtId="4" fontId="0" fillId="0" borderId="6" xfId="0" applyNumberFormat="1" applyBorder="1"/>
    <xf numFmtId="0" fontId="0" fillId="0" borderId="0" xfId="0" applyAlignment="1">
      <alignment horizontal="center"/>
    </xf>
    <xf numFmtId="0" fontId="0" fillId="0" borderId="11" xfId="0" applyBorder="1"/>
    <xf numFmtId="43" fontId="0" fillId="0" borderId="8" xfId="1" applyFont="1" applyBorder="1"/>
    <xf numFmtId="0" fontId="0" fillId="0" borderId="8" xfId="0" applyBorder="1" applyAlignment="1">
      <alignment horizontal="center"/>
    </xf>
    <xf numFmtId="4" fontId="0" fillId="0" borderId="12" xfId="0" applyNumberFormat="1" applyBorder="1"/>
    <xf numFmtId="0" fontId="0" fillId="0" borderId="4" xfId="0" applyBorder="1" applyAlignment="1"/>
    <xf numFmtId="0" fontId="24" fillId="8" borderId="4" xfId="0" applyFont="1" applyFill="1" applyBorder="1"/>
    <xf numFmtId="10" fontId="0" fillId="0" borderId="0" xfId="0" applyNumberFormat="1"/>
    <xf numFmtId="10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7" borderId="13" xfId="0" applyFont="1" applyFill="1" applyBorder="1" applyAlignment="1">
      <alignment vertical="center" wrapText="1"/>
    </xf>
    <xf numFmtId="10" fontId="0" fillId="0" borderId="0" xfId="0" applyNumberFormat="1" applyAlignment="1">
      <alignment horizontal="center" vertical="center"/>
    </xf>
    <xf numFmtId="9" fontId="2" fillId="0" borderId="0" xfId="0" applyNumberFormat="1" applyFont="1"/>
    <xf numFmtId="9" fontId="16" fillId="0" borderId="4" xfId="2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3" fontId="2" fillId="0" borderId="7" xfId="1" applyFont="1" applyBorder="1"/>
    <xf numFmtId="0" fontId="4" fillId="6" borderId="8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25" fillId="9" borderId="4" xfId="0" applyFont="1" applyFill="1" applyBorder="1" applyAlignment="1">
      <alignment horizontal="center" vertical="center" wrapText="1"/>
    </xf>
    <xf numFmtId="0" fontId="25" fillId="9" borderId="4" xfId="0" applyFont="1" applyFill="1" applyBorder="1" applyAlignment="1">
      <alignment wrapText="1"/>
    </xf>
    <xf numFmtId="0" fontId="0" fillId="9" borderId="6" xfId="0" applyFill="1" applyBorder="1" applyAlignment="1">
      <alignment horizontal="center" vertical="center" wrapText="1"/>
    </xf>
    <xf numFmtId="8" fontId="0" fillId="9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8" fontId="2" fillId="0" borderId="4" xfId="1" applyNumberFormat="1" applyFont="1" applyBorder="1"/>
    <xf numFmtId="0" fontId="4" fillId="5" borderId="4" xfId="0" applyFont="1" applyFill="1" applyBorder="1" applyAlignment="1">
      <alignment horizontal="center"/>
    </xf>
    <xf numFmtId="43" fontId="4" fillId="5" borderId="4" xfId="1" applyFont="1" applyFill="1" applyBorder="1" applyAlignment="1">
      <alignment horizontal="center"/>
    </xf>
    <xf numFmtId="8" fontId="2" fillId="0" borderId="4" xfId="1" applyNumberFormat="1" applyFont="1" applyBorder="1" applyAlignment="1">
      <alignment horizontal="center"/>
    </xf>
    <xf numFmtId="0" fontId="18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6" fillId="5" borderId="4" xfId="0" applyFont="1" applyFill="1" applyBorder="1" applyAlignment="1">
      <alignment horizontal="center"/>
    </xf>
    <xf numFmtId="0" fontId="5" fillId="3" borderId="3" xfId="0" applyFont="1" applyFill="1" applyBorder="1" applyAlignment="1" applyProtection="1">
      <alignment horizontal="center" vertical="center"/>
    </xf>
    <xf numFmtId="0" fontId="18" fillId="5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5" fillId="3" borderId="3" xfId="0" applyNumberFormat="1" applyFont="1" applyFill="1" applyBorder="1" applyAlignment="1" applyProtection="1">
      <alignment horizontal="center" vertical="center"/>
    </xf>
    <xf numFmtId="1" fontId="5" fillId="3" borderId="1" xfId="0" applyNumberFormat="1" applyFont="1" applyFill="1" applyBorder="1" applyAlignment="1" applyProtection="1">
      <alignment horizontal="center" vertical="center"/>
    </xf>
    <xf numFmtId="1" fontId="5" fillId="3" borderId="2" xfId="0" applyNumberFormat="1" applyFont="1" applyFill="1" applyBorder="1" applyAlignment="1" applyProtection="1">
      <alignment horizontal="center" vertical="center"/>
    </xf>
    <xf numFmtId="14" fontId="12" fillId="0" borderId="4" xfId="0" applyNumberFormat="1" applyFont="1" applyBorder="1" applyAlignment="1">
      <alignment horizontal="center"/>
    </xf>
    <xf numFmtId="4" fontId="12" fillId="0" borderId="4" xfId="1" applyNumberFormat="1" applyFont="1" applyBorder="1" applyAlignment="1">
      <alignment horizontal="center"/>
    </xf>
    <xf numFmtId="4" fontId="12" fillId="0" borderId="4" xfId="0" applyNumberFormat="1" applyFont="1" applyBorder="1" applyAlignment="1">
      <alignment horizontal="center"/>
    </xf>
    <xf numFmtId="43" fontId="12" fillId="0" borderId="4" xfId="0" applyNumberFormat="1" applyFont="1" applyBorder="1" applyAlignment="1">
      <alignment horizontal="center"/>
    </xf>
    <xf numFmtId="0" fontId="21" fillId="0" borderId="6" xfId="5" applyFont="1" applyBorder="1" applyAlignment="1">
      <alignment horizontal="center" vertical="center"/>
    </xf>
    <xf numFmtId="0" fontId="21" fillId="0" borderId="3" xfId="5" applyFont="1" applyBorder="1" applyAlignment="1">
      <alignment horizontal="center" vertical="center"/>
    </xf>
    <xf numFmtId="0" fontId="21" fillId="0" borderId="7" xfId="5" applyFont="1" applyBorder="1" applyAlignment="1">
      <alignment horizontal="center" vertical="center"/>
    </xf>
    <xf numFmtId="0" fontId="20" fillId="0" borderId="2" xfId="3" applyFont="1" applyBorder="1" applyAlignment="1">
      <alignment horizontal="center"/>
    </xf>
    <xf numFmtId="0" fontId="22" fillId="4" borderId="8" xfId="5" applyFont="1" applyFill="1" applyBorder="1" applyAlignment="1">
      <alignment horizontal="center" vertical="center" wrapText="1"/>
    </xf>
    <xf numFmtId="0" fontId="22" fillId="4" borderId="5" xfId="5" applyFont="1" applyFill="1" applyBorder="1" applyAlignment="1">
      <alignment horizontal="center" vertical="center" wrapText="1"/>
    </xf>
    <xf numFmtId="0" fontId="22" fillId="4" borderId="4" xfId="5" applyFont="1" applyFill="1" applyBorder="1" applyAlignment="1">
      <alignment horizontal="center" vertical="center"/>
    </xf>
    <xf numFmtId="0" fontId="22" fillId="4" borderId="0" xfId="5" applyFont="1" applyFill="1" applyBorder="1" applyAlignment="1">
      <alignment horizontal="left"/>
    </xf>
    <xf numFmtId="0" fontId="22" fillId="4" borderId="0" xfId="5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wrapText="1"/>
    </xf>
  </cellXfs>
  <cellStyles count="9">
    <cellStyle name="Moeda 7" xfId="6"/>
    <cellStyle name="Normal" xfId="0" builtinId="0"/>
    <cellStyle name="Normal 2" xfId="4"/>
    <cellStyle name="Normal 3 2" xfId="5"/>
    <cellStyle name="Normal 4 2" xfId="3"/>
    <cellStyle name="Porcentagem" xfId="2" builtinId="5"/>
    <cellStyle name="Porcentagem 3" xfId="8"/>
    <cellStyle name="Vírgula" xfId="1" builtinId="3"/>
    <cellStyle name="Vírgula 5 2" xfId="7"/>
  </cellStyles>
  <dxfs count="25"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  <alignment horizontal="center" vertical="bottom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ela1" displayName="Tabela1" ref="D5:H11" totalsRowShown="0" headerRowDxfId="24" headerRowBorderDxfId="23" tableBorderDxfId="22" totalsRowBorderDxfId="21">
  <autoFilter ref="D5:H11"/>
  <tableColumns count="5">
    <tableColumn id="1" name="Faixa" dataDxfId="20"/>
    <tableColumn id="2" name="Faturamento anual (R$)" dataDxfId="19" dataCellStyle="Vírgula"/>
    <tableColumn id="3" name="Coluna1" dataDxfId="18" dataCellStyle="Vírgula"/>
    <tableColumn id="4" name="Alíquota (%)" dataDxfId="17"/>
    <tableColumn id="5" name="Valor a Deduzir (R$)" dataDxfId="16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E15:I21" totalsRowShown="0">
  <autoFilter ref="E15:I21"/>
  <tableColumns count="5">
    <tableColumn id="1" name="ISS" dataDxfId="15"/>
    <tableColumn id="2" name="CSLL" dataDxfId="14"/>
    <tableColumn id="3" name="IRPJ" dataDxfId="13"/>
    <tableColumn id="4" name="Cofins" dataDxfId="12"/>
    <tableColumn id="5" name="PIS/Pasep" dataDxfId="11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E22:I24" totalsRowCount="1" dataDxfId="10">
  <autoFilter ref="E22:I23"/>
  <tableColumns count="5">
    <tableColumn id="1" name="ISS" dataDxfId="9" totalsRowDxfId="8"/>
    <tableColumn id="2" name="CSLL" dataDxfId="7" totalsRowDxfId="6"/>
    <tableColumn id="3" name="IRPJ" dataDxfId="5" totalsRowDxfId="4"/>
    <tableColumn id="4" name="Cofins" dataDxfId="3" totalsRowDxfId="2"/>
    <tableColumn id="5" name="PIS/Pasep" dataDxfId="1" totalsRow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6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workbookViewId="0">
      <selection activeCell="B5" sqref="B5"/>
    </sheetView>
  </sheetViews>
  <sheetFormatPr defaultRowHeight="15" x14ac:dyDescent="0.25"/>
  <cols>
    <col min="1" max="1" width="22.28515625" bestFit="1" customWidth="1"/>
    <col min="2" max="2" width="21.140625" customWidth="1"/>
    <col min="11" max="11" width="16" hidden="1" customWidth="1"/>
  </cols>
  <sheetData>
    <row r="1" spans="1:12" x14ac:dyDescent="0.25">
      <c r="A1" s="52"/>
      <c r="B1" s="52"/>
    </row>
    <row r="2" spans="1:12" ht="15.75" x14ac:dyDescent="0.25">
      <c r="A2" s="48" t="s">
        <v>124</v>
      </c>
      <c r="B2" s="49" t="s">
        <v>122</v>
      </c>
      <c r="C2" s="1"/>
      <c r="D2" s="45" t="s">
        <v>123</v>
      </c>
      <c r="E2" s="1"/>
      <c r="F2" s="1"/>
      <c r="G2" s="1"/>
      <c r="H2" s="1"/>
      <c r="I2" s="1"/>
      <c r="J2" s="1"/>
      <c r="K2" s="1" t="s">
        <v>266</v>
      </c>
      <c r="L2" s="1"/>
    </row>
    <row r="3" spans="1:12" ht="15.75" x14ac:dyDescent="0.25">
      <c r="A3" s="48" t="s">
        <v>195</v>
      </c>
      <c r="B3" s="51">
        <v>1212</v>
      </c>
      <c r="C3" s="15" t="s">
        <v>85</v>
      </c>
      <c r="D3" s="1"/>
      <c r="E3" s="1"/>
      <c r="F3" s="1"/>
      <c r="G3" s="1"/>
      <c r="H3" s="1"/>
      <c r="I3" s="1"/>
      <c r="J3" s="1"/>
      <c r="K3" s="1" t="s">
        <v>267</v>
      </c>
      <c r="L3" s="1"/>
    </row>
    <row r="4" spans="1:12" ht="15.75" x14ac:dyDescent="0.25">
      <c r="A4" s="48" t="s">
        <v>268</v>
      </c>
      <c r="B4" s="49" t="s">
        <v>269</v>
      </c>
      <c r="C4" s="15"/>
      <c r="D4" s="1"/>
      <c r="E4" s="1"/>
      <c r="F4" s="1"/>
      <c r="G4" s="1"/>
      <c r="H4" s="1"/>
      <c r="I4" s="1"/>
      <c r="J4" s="1"/>
      <c r="K4" s="1" t="s">
        <v>269</v>
      </c>
      <c r="L4" s="1"/>
    </row>
    <row r="5" spans="1:12" ht="15.75" x14ac:dyDescent="0.25">
      <c r="A5" s="48" t="s">
        <v>270</v>
      </c>
      <c r="B5" s="171">
        <v>0.05</v>
      </c>
      <c r="C5" s="15"/>
      <c r="D5" s="1"/>
      <c r="E5" s="1"/>
      <c r="F5" s="1"/>
      <c r="G5" s="1"/>
      <c r="H5" s="1"/>
      <c r="I5" s="1"/>
      <c r="J5" s="1"/>
      <c r="K5" s="1"/>
      <c r="L5" s="1"/>
    </row>
  </sheetData>
  <dataValidations count="1">
    <dataValidation type="list" allowBlank="1" showInputMessage="1" showErrorMessage="1" sqref="B4">
      <formula1>$K$2:$K$4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showGridLines="0" zoomScaleNormal="100" workbookViewId="0">
      <selection activeCell="B172" sqref="B172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189" t="s">
        <v>0</v>
      </c>
      <c r="B1" s="189"/>
      <c r="C1" s="189"/>
      <c r="D1" s="189"/>
      <c r="E1" s="189"/>
      <c r="I1" s="45"/>
    </row>
    <row r="2" spans="1:9" x14ac:dyDescent="0.25">
      <c r="A2" s="60" t="s">
        <v>107</v>
      </c>
      <c r="B2" s="60"/>
      <c r="G2" s="88"/>
      <c r="H2" s="15"/>
    </row>
    <row r="3" spans="1:9" x14ac:dyDescent="0.25">
      <c r="A3" s="22" t="s">
        <v>108</v>
      </c>
      <c r="B3" s="22"/>
      <c r="G3" s="87"/>
      <c r="H3" s="15"/>
    </row>
    <row r="4" spans="1:9" x14ac:dyDescent="0.25">
      <c r="A4" s="14"/>
      <c r="B4" s="14"/>
      <c r="G4" s="170"/>
      <c r="H4" s="15"/>
    </row>
    <row r="5" spans="1:9" x14ac:dyDescent="0.25">
      <c r="A5" s="5" t="s">
        <v>4</v>
      </c>
      <c r="B5" s="35" t="s">
        <v>109</v>
      </c>
      <c r="C5" s="206"/>
      <c r="D5" s="207"/>
      <c r="H5" s="15"/>
    </row>
    <row r="6" spans="1:9" x14ac:dyDescent="0.25">
      <c r="A6" s="5" t="s">
        <v>6</v>
      </c>
      <c r="B6" s="35" t="s">
        <v>110</v>
      </c>
      <c r="C6" s="207"/>
      <c r="D6" s="207"/>
      <c r="H6" s="15"/>
    </row>
    <row r="7" spans="1:9" ht="25.5" x14ac:dyDescent="0.25">
      <c r="A7" s="5" t="s">
        <v>8</v>
      </c>
      <c r="B7" s="35" t="s">
        <v>111</v>
      </c>
      <c r="C7" s="207"/>
      <c r="D7" s="207"/>
      <c r="H7" s="15"/>
    </row>
    <row r="8" spans="1:9" x14ac:dyDescent="0.25">
      <c r="A8" s="5" t="s">
        <v>10</v>
      </c>
      <c r="B8" s="35" t="s">
        <v>112</v>
      </c>
      <c r="C8" s="207"/>
      <c r="D8" s="207"/>
      <c r="H8" s="15"/>
    </row>
    <row r="9" spans="1:9" x14ac:dyDescent="0.25">
      <c r="A9" s="205"/>
      <c r="B9" s="205"/>
      <c r="C9" s="205"/>
      <c r="D9" s="205"/>
      <c r="E9" s="21"/>
    </row>
    <row r="10" spans="1:9" x14ac:dyDescent="0.25">
      <c r="A10" s="189" t="s">
        <v>78</v>
      </c>
      <c r="B10" s="189"/>
      <c r="C10" s="189"/>
      <c r="D10" s="189"/>
      <c r="E10" s="189"/>
    </row>
    <row r="11" spans="1:9" ht="25.5" customHeight="1" x14ac:dyDescent="0.25">
      <c r="A11" s="199" t="s">
        <v>79</v>
      </c>
      <c r="B11" s="199"/>
      <c r="C11" s="32" t="s">
        <v>80</v>
      </c>
      <c r="D11" s="86" t="s">
        <v>81</v>
      </c>
      <c r="E11" s="86" t="s">
        <v>189</v>
      </c>
    </row>
    <row r="12" spans="1:9" ht="15.75" customHeight="1" x14ac:dyDescent="0.25">
      <c r="A12" s="200" t="s">
        <v>104</v>
      </c>
      <c r="B12" s="200"/>
      <c r="C12" s="202" t="s">
        <v>82</v>
      </c>
      <c r="D12" s="202">
        <v>3</v>
      </c>
      <c r="E12" s="209">
        <v>1</v>
      </c>
    </row>
    <row r="13" spans="1:9" x14ac:dyDescent="0.25">
      <c r="A13" s="201"/>
      <c r="B13" s="201"/>
      <c r="C13" s="203"/>
      <c r="D13" s="203"/>
      <c r="E13" s="210"/>
    </row>
    <row r="14" spans="1:9" x14ac:dyDescent="0.25">
      <c r="A14" s="4"/>
      <c r="B14" s="4"/>
      <c r="C14" s="4"/>
      <c r="D14" s="4"/>
      <c r="E14" s="4"/>
    </row>
    <row r="15" spans="1:9" x14ac:dyDescent="0.25">
      <c r="A15" s="38">
        <v>1</v>
      </c>
      <c r="B15" s="37" t="s">
        <v>113</v>
      </c>
      <c r="C15" s="204" t="s">
        <v>104</v>
      </c>
      <c r="D15" s="204"/>
      <c r="E15" s="204"/>
      <c r="F15" s="36"/>
    </row>
    <row r="16" spans="1:9" x14ac:dyDescent="0.25">
      <c r="A16" s="38">
        <v>2</v>
      </c>
      <c r="B16" s="37" t="s">
        <v>114</v>
      </c>
      <c r="C16" s="204"/>
      <c r="D16" s="204"/>
      <c r="E16" s="204"/>
      <c r="F16" s="36"/>
    </row>
    <row r="17" spans="1:6" x14ac:dyDescent="0.25">
      <c r="A17" s="38">
        <v>3</v>
      </c>
      <c r="B17" s="37" t="s">
        <v>115</v>
      </c>
      <c r="C17" s="212">
        <f>$D$25+$D$30</f>
        <v>1356.22</v>
      </c>
      <c r="D17" s="212"/>
      <c r="E17" s="212"/>
      <c r="F17" s="36"/>
    </row>
    <row r="18" spans="1:6" x14ac:dyDescent="0.25">
      <c r="A18" s="38">
        <v>4</v>
      </c>
      <c r="B18" s="37" t="s">
        <v>116</v>
      </c>
      <c r="C18" s="204" t="s">
        <v>153</v>
      </c>
      <c r="D18" s="204"/>
      <c r="E18" s="204"/>
      <c r="F18" s="36"/>
    </row>
    <row r="19" spans="1:6" x14ac:dyDescent="0.25">
      <c r="A19" s="38">
        <v>5</v>
      </c>
      <c r="B19" s="37" t="s">
        <v>117</v>
      </c>
      <c r="C19" s="211"/>
      <c r="D19" s="204"/>
      <c r="E19" s="204"/>
      <c r="F19" s="36"/>
    </row>
    <row r="20" spans="1:6" x14ac:dyDescent="0.25">
      <c r="A20" s="4"/>
      <c r="B20" s="4"/>
      <c r="C20" s="4"/>
      <c r="D20" s="4"/>
      <c r="E20" s="4"/>
    </row>
    <row r="22" spans="1:6" x14ac:dyDescent="0.25">
      <c r="A22" s="189" t="s">
        <v>1</v>
      </c>
      <c r="B22" s="189"/>
      <c r="C22" s="189"/>
      <c r="D22" s="189"/>
      <c r="E22" s="189"/>
    </row>
    <row r="24" spans="1:6" ht="25.5" customHeight="1" x14ac:dyDescent="0.25">
      <c r="A24" s="20">
        <v>1</v>
      </c>
      <c r="B24" s="39" t="s">
        <v>2</v>
      </c>
      <c r="C24" s="20" t="s">
        <v>24</v>
      </c>
      <c r="D24" s="20" t="s">
        <v>3</v>
      </c>
      <c r="E24" s="31" t="s">
        <v>129</v>
      </c>
    </row>
    <row r="25" spans="1:6" x14ac:dyDescent="0.25">
      <c r="A25" s="5" t="s">
        <v>4</v>
      </c>
      <c r="B25" s="35" t="s">
        <v>5</v>
      </c>
      <c r="C25" s="13"/>
      <c r="D25" s="6">
        <v>1305.9100000000001</v>
      </c>
      <c r="E25" s="22" t="s">
        <v>140</v>
      </c>
    </row>
    <row r="26" spans="1:6" x14ac:dyDescent="0.25">
      <c r="A26" s="5" t="s">
        <v>6</v>
      </c>
      <c r="B26" s="35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35" t="s">
        <v>9</v>
      </c>
      <c r="C27" s="13">
        <v>0</v>
      </c>
      <c r="D27" s="6">
        <f>C27*$G$2</f>
        <v>0</v>
      </c>
      <c r="E27" s="22" t="s">
        <v>140</v>
      </c>
    </row>
    <row r="28" spans="1:6" x14ac:dyDescent="0.25">
      <c r="A28" s="5" t="s">
        <v>10</v>
      </c>
      <c r="B28" s="35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35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35" t="s">
        <v>105</v>
      </c>
      <c r="C30" s="13"/>
      <c r="D30" s="6">
        <v>50.31</v>
      </c>
      <c r="E30" s="22" t="s">
        <v>140</v>
      </c>
    </row>
    <row r="31" spans="1:6" x14ac:dyDescent="0.25">
      <c r="A31" s="194" t="s">
        <v>15</v>
      </c>
      <c r="B31" s="196"/>
      <c r="C31" s="10"/>
      <c r="D31" s="10">
        <f>SUM(D25:D30)</f>
        <v>1356.22</v>
      </c>
      <c r="E31" s="10"/>
    </row>
    <row r="34" spans="1:5" x14ac:dyDescent="0.25">
      <c r="A34" s="189" t="s">
        <v>16</v>
      </c>
      <c r="B34" s="189"/>
      <c r="C34" s="189"/>
      <c r="D34" s="189"/>
      <c r="E34" s="189"/>
    </row>
    <row r="35" spans="1:5" x14ac:dyDescent="0.25">
      <c r="A35" s="2"/>
    </row>
    <row r="36" spans="1:5" x14ac:dyDescent="0.25">
      <c r="A36" s="189" t="s">
        <v>17</v>
      </c>
      <c r="B36" s="189"/>
      <c r="C36" s="189"/>
      <c r="D36" s="189"/>
      <c r="E36" s="189"/>
    </row>
    <row r="38" spans="1:5" x14ac:dyDescent="0.25">
      <c r="A38" s="20" t="s">
        <v>18</v>
      </c>
      <c r="B38" s="20" t="s">
        <v>19</v>
      </c>
      <c r="C38" s="20" t="s">
        <v>24</v>
      </c>
      <c r="D38" s="20" t="s">
        <v>3</v>
      </c>
      <c r="E38" s="31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113.01833333333333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113.01833333333333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37.672777777777775</v>
      </c>
      <c r="E41" s="22" t="s">
        <v>143</v>
      </c>
    </row>
    <row r="42" spans="1:5" x14ac:dyDescent="0.25">
      <c r="A42" s="194" t="s">
        <v>15</v>
      </c>
      <c r="B42" s="196"/>
      <c r="C42" s="10"/>
      <c r="D42" s="10">
        <f>SUM(D39:D41)</f>
        <v>263.70944444444444</v>
      </c>
      <c r="E42" s="22"/>
    </row>
    <row r="43" spans="1:5" x14ac:dyDescent="0.25">
      <c r="D43" s="61"/>
    </row>
    <row r="45" spans="1:5" x14ac:dyDescent="0.25">
      <c r="A45" s="189" t="s">
        <v>21</v>
      </c>
      <c r="B45" s="189"/>
      <c r="C45" s="189"/>
      <c r="D45" s="189"/>
      <c r="E45" s="189"/>
    </row>
    <row r="47" spans="1:5" x14ac:dyDescent="0.25">
      <c r="A47" s="31" t="s">
        <v>22</v>
      </c>
      <c r="B47" s="31" t="s">
        <v>23</v>
      </c>
      <c r="C47" s="31" t="s">
        <v>24</v>
      </c>
      <c r="D47" s="20" t="s">
        <v>3</v>
      </c>
      <c r="E47" s="31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323.98588888888889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40.498236111111112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3">
        <v>0.06</v>
      </c>
      <c r="D50" s="6">
        <f t="shared" si="0"/>
        <v>97.195766666666671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24.298941666666668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16.199294444444444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9.7195766666666668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3.2398588888888891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129.59435555555555</v>
      </c>
      <c r="E55" s="7" t="s">
        <v>149</v>
      </c>
    </row>
    <row r="56" spans="1:5" x14ac:dyDescent="0.25">
      <c r="A56" s="194" t="s">
        <v>34</v>
      </c>
      <c r="B56" s="196"/>
      <c r="C56" s="42">
        <f>SUM(C48:C55)</f>
        <v>0.39800000000000008</v>
      </c>
      <c r="D56" s="10">
        <f>SUM(D48:D55)</f>
        <v>644.73191888888891</v>
      </c>
      <c r="E56" s="22"/>
    </row>
    <row r="59" spans="1:5" x14ac:dyDescent="0.25">
      <c r="A59" s="189" t="s">
        <v>35</v>
      </c>
      <c r="B59" s="189"/>
      <c r="C59" s="189"/>
      <c r="D59" s="189"/>
      <c r="E59" s="189"/>
    </row>
    <row r="61" spans="1:5" x14ac:dyDescent="0.25">
      <c r="A61" s="31" t="s">
        <v>36</v>
      </c>
      <c r="B61" s="194" t="s">
        <v>37</v>
      </c>
      <c r="C61" s="196"/>
      <c r="D61" s="20" t="s">
        <v>3</v>
      </c>
      <c r="E61" s="31" t="s">
        <v>129</v>
      </c>
    </row>
    <row r="62" spans="1:5" x14ac:dyDescent="0.25">
      <c r="A62" s="5" t="s">
        <v>4</v>
      </c>
      <c r="B62" s="197" t="s">
        <v>120</v>
      </c>
      <c r="C62" s="198"/>
      <c r="D62" s="6">
        <f>IF(VLOOKUP(B62,Beneficios!$A$1:$F$8,1,FALSE)='Servente de Limpeza'!B62,VLOOKUP(B62,Beneficios!$A$1:$F$8,6,FALSE))-$D$25*Beneficios!$E$2</f>
        <v>179.04540000000003</v>
      </c>
      <c r="E62" s="22" t="s">
        <v>140</v>
      </c>
    </row>
    <row r="63" spans="1:5" x14ac:dyDescent="0.25">
      <c r="A63" s="5" t="s">
        <v>6</v>
      </c>
      <c r="B63" s="197" t="s">
        <v>38</v>
      </c>
      <c r="C63" s="198">
        <f>22*16-(22*16)*20%</f>
        <v>281.60000000000002</v>
      </c>
      <c r="D63" s="6">
        <f>IF(VLOOKUP(B63,Beneficios!$A$1:$F$8,1,FALSE)='Servente de Limpeza'!B63,VLOOKUP(B63,Beneficios!$A$1:$F$8,6,FALSE))</f>
        <v>326.12800000000004</v>
      </c>
      <c r="E63" s="22" t="s">
        <v>220</v>
      </c>
    </row>
    <row r="64" spans="1:5" x14ac:dyDescent="0.25">
      <c r="A64" s="5" t="s">
        <v>8</v>
      </c>
      <c r="B64" s="197" t="s">
        <v>106</v>
      </c>
      <c r="C64" s="198">
        <f>120</f>
        <v>120</v>
      </c>
      <c r="D64" s="6">
        <f>IF(VLOOKUP(B64,Beneficios!$A$1:$F$8,1,FALSE)='Servente de Limpeza'!B64,VLOOKUP(B64,Beneficios!$A$1:$F$8,6,FALSE))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197" t="s">
        <v>215</v>
      </c>
      <c r="C65" s="198"/>
      <c r="D65" s="6">
        <v>49</v>
      </c>
      <c r="E65" s="22" t="s">
        <v>140</v>
      </c>
    </row>
    <row r="66" spans="1:5" x14ac:dyDescent="0.25">
      <c r="A66" s="5" t="s">
        <v>12</v>
      </c>
      <c r="B66" s="197" t="s">
        <v>193</v>
      </c>
      <c r="C66" s="198"/>
      <c r="D66" s="6"/>
      <c r="E66" s="22" t="s">
        <v>140</v>
      </c>
    </row>
    <row r="67" spans="1:5" x14ac:dyDescent="0.25">
      <c r="A67" s="5" t="s">
        <v>29</v>
      </c>
      <c r="B67" s="197" t="s">
        <v>193</v>
      </c>
      <c r="C67" s="198"/>
      <c r="D67" s="6"/>
      <c r="E67" s="22" t="s">
        <v>140</v>
      </c>
    </row>
    <row r="68" spans="1:5" x14ac:dyDescent="0.25">
      <c r="A68" s="5" t="s">
        <v>14</v>
      </c>
      <c r="B68" s="197" t="s">
        <v>193</v>
      </c>
      <c r="C68" s="198"/>
      <c r="D68" s="6"/>
      <c r="E68" s="22" t="s">
        <v>140</v>
      </c>
    </row>
    <row r="69" spans="1:5" x14ac:dyDescent="0.25">
      <c r="A69" s="194" t="s">
        <v>15</v>
      </c>
      <c r="B69" s="195"/>
      <c r="C69" s="196"/>
      <c r="D69" s="10">
        <f>SUM(D62:D68)</f>
        <v>684.97340000000008</v>
      </c>
      <c r="E69" s="22"/>
    </row>
    <row r="72" spans="1:5" x14ac:dyDescent="0.25">
      <c r="A72" s="189" t="s">
        <v>39</v>
      </c>
      <c r="B72" s="189"/>
      <c r="C72" s="189"/>
      <c r="D72" s="189"/>
      <c r="E72" s="189"/>
    </row>
    <row r="74" spans="1:5" x14ac:dyDescent="0.25">
      <c r="A74" s="31">
        <v>2</v>
      </c>
      <c r="B74" s="39" t="s">
        <v>40</v>
      </c>
      <c r="C74" s="43"/>
      <c r="D74" s="20" t="s">
        <v>3</v>
      </c>
      <c r="E74" s="31" t="s">
        <v>90</v>
      </c>
    </row>
    <row r="75" spans="1:5" x14ac:dyDescent="0.25">
      <c r="A75" s="5" t="s">
        <v>18</v>
      </c>
      <c r="B75" s="35" t="s">
        <v>19</v>
      </c>
      <c r="C75" s="41"/>
      <c r="D75" s="6">
        <f>D42</f>
        <v>263.70944444444444</v>
      </c>
      <c r="E75" s="22"/>
    </row>
    <row r="76" spans="1:5" x14ac:dyDescent="0.25">
      <c r="A76" s="5" t="s">
        <v>22</v>
      </c>
      <c r="B76" s="35" t="s">
        <v>23</v>
      </c>
      <c r="C76" s="41"/>
      <c r="D76" s="6">
        <f>D56</f>
        <v>644.73191888888891</v>
      </c>
      <c r="E76" s="22"/>
    </row>
    <row r="77" spans="1:5" x14ac:dyDescent="0.25">
      <c r="A77" s="5" t="s">
        <v>36</v>
      </c>
      <c r="B77" s="35" t="s">
        <v>37</v>
      </c>
      <c r="C77" s="41"/>
      <c r="D77" s="6">
        <f>D69</f>
        <v>684.97340000000008</v>
      </c>
      <c r="E77" s="22"/>
    </row>
    <row r="78" spans="1:5" x14ac:dyDescent="0.25">
      <c r="A78" s="194" t="s">
        <v>15</v>
      </c>
      <c r="B78" s="195"/>
      <c r="C78" s="196"/>
      <c r="D78" s="10">
        <f>SUM(D75:D77)</f>
        <v>1593.4147633333334</v>
      </c>
      <c r="E78" s="22"/>
    </row>
    <row r="79" spans="1:5" x14ac:dyDescent="0.25">
      <c r="A79" s="3"/>
    </row>
    <row r="81" spans="1:5" x14ac:dyDescent="0.25">
      <c r="A81" s="189" t="s">
        <v>41</v>
      </c>
      <c r="B81" s="189"/>
      <c r="C81" s="189"/>
      <c r="D81" s="189"/>
      <c r="E81" s="189"/>
    </row>
    <row r="83" spans="1:5" x14ac:dyDescent="0.25">
      <c r="A83" s="31">
        <v>3</v>
      </c>
      <c r="B83" s="31" t="s">
        <v>42</v>
      </c>
      <c r="C83" s="31" t="s">
        <v>24</v>
      </c>
      <c r="D83" s="20" t="s">
        <v>3</v>
      </c>
      <c r="E83" s="31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6.7497060185185189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8" si="1">($D$31+$D$75)*C85</f>
        <v>0.53997648148148147</v>
      </c>
      <c r="E85" s="44" t="s">
        <v>151</v>
      </c>
    </row>
    <row r="86" spans="1:5" ht="25.5" x14ac:dyDescent="0.25">
      <c r="A86" s="5" t="s">
        <v>8</v>
      </c>
      <c r="B86" s="9" t="s">
        <v>119</v>
      </c>
      <c r="C86" s="34">
        <v>0.04</v>
      </c>
      <c r="D86" s="6">
        <f t="shared" si="1"/>
        <v>64.797177777777776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31.498628086419753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12.536453978395064</v>
      </c>
      <c r="E88" s="44" t="s">
        <v>152</v>
      </c>
    </row>
    <row r="89" spans="1:5" ht="16.5" customHeight="1" x14ac:dyDescent="0.25">
      <c r="A89" s="5" t="s">
        <v>29</v>
      </c>
      <c r="B89" s="9"/>
      <c r="C89" s="17"/>
      <c r="D89" s="6">
        <f>($D$31+$D$75)*C89</f>
        <v>0</v>
      </c>
      <c r="E89" s="44"/>
    </row>
    <row r="90" spans="1:5" x14ac:dyDescent="0.25">
      <c r="A90" s="31" t="s">
        <v>15</v>
      </c>
      <c r="B90" s="31"/>
      <c r="C90" s="10"/>
      <c r="D90" s="10">
        <f>SUM(D84:D89)</f>
        <v>116.12194234259259</v>
      </c>
      <c r="E90" s="44"/>
    </row>
    <row r="93" spans="1:5" x14ac:dyDescent="0.25">
      <c r="A93" s="189" t="s">
        <v>47</v>
      </c>
      <c r="B93" s="189"/>
      <c r="C93" s="189"/>
      <c r="D93" s="189"/>
      <c r="E93" s="189"/>
    </row>
    <row r="95" spans="1:5" x14ac:dyDescent="0.25">
      <c r="A95" s="189" t="s">
        <v>48</v>
      </c>
      <c r="B95" s="189"/>
      <c r="C95" s="189"/>
      <c r="D95" s="189"/>
      <c r="E95" s="189"/>
    </row>
    <row r="96" spans="1:5" x14ac:dyDescent="0.25">
      <c r="A96" s="2"/>
    </row>
    <row r="97" spans="1:5" x14ac:dyDescent="0.25">
      <c r="A97" s="31" t="s">
        <v>49</v>
      </c>
      <c r="B97" s="31" t="s">
        <v>50</v>
      </c>
      <c r="C97" s="31" t="s">
        <v>24</v>
      </c>
      <c r="D97" s="20" t="s">
        <v>3</v>
      </c>
      <c r="E97" s="31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12.728851522149464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0.60293215211626539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1.0709213501508896</v>
      </c>
      <c r="E101" s="54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2.8130402489136479</v>
      </c>
      <c r="E102" s="44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6.8184622400293149</v>
      </c>
      <c r="E103" s="44"/>
    </row>
    <row r="104" spans="1:5" x14ac:dyDescent="0.25">
      <c r="A104" s="194" t="s">
        <v>34</v>
      </c>
      <c r="B104" s="195"/>
      <c r="C104" s="196"/>
      <c r="D104" s="10">
        <f>SUM(D98:D103)</f>
        <v>24.034207513359583</v>
      </c>
      <c r="E104" s="22"/>
    </row>
    <row r="107" spans="1:5" x14ac:dyDescent="0.25">
      <c r="A107" s="208" t="s">
        <v>55</v>
      </c>
      <c r="B107" s="208"/>
      <c r="C107" s="208"/>
      <c r="D107" s="208"/>
      <c r="E107" s="208"/>
    </row>
    <row r="108" spans="1:5" x14ac:dyDescent="0.25">
      <c r="A108" s="2"/>
    </row>
    <row r="109" spans="1:5" x14ac:dyDescent="0.25">
      <c r="A109" s="31" t="s">
        <v>56</v>
      </c>
      <c r="B109" s="194" t="s">
        <v>57</v>
      </c>
      <c r="C109" s="196"/>
      <c r="D109" s="20" t="s">
        <v>3</v>
      </c>
      <c r="E109" s="31" t="s">
        <v>129</v>
      </c>
    </row>
    <row r="110" spans="1:5" x14ac:dyDescent="0.25">
      <c r="A110" s="5" t="s">
        <v>4</v>
      </c>
      <c r="B110" s="197" t="s">
        <v>58</v>
      </c>
      <c r="C110" s="198"/>
      <c r="D110" s="6"/>
      <c r="E110" s="22"/>
    </row>
    <row r="111" spans="1:5" x14ac:dyDescent="0.25">
      <c r="A111" s="194" t="s">
        <v>15</v>
      </c>
      <c r="B111" s="195"/>
      <c r="C111" s="196"/>
      <c r="D111" s="6">
        <f>D110</f>
        <v>0</v>
      </c>
      <c r="E111" s="22"/>
    </row>
    <row r="114" spans="1:5" x14ac:dyDescent="0.25">
      <c r="A114" s="189" t="s">
        <v>59</v>
      </c>
      <c r="B114" s="189"/>
      <c r="C114" s="189"/>
      <c r="D114" s="189"/>
      <c r="E114" s="189"/>
    </row>
    <row r="115" spans="1:5" x14ac:dyDescent="0.25">
      <c r="A115" s="2"/>
    </row>
    <row r="116" spans="1:5" x14ac:dyDescent="0.25">
      <c r="A116" s="31">
        <v>4</v>
      </c>
      <c r="B116" s="39" t="s">
        <v>60</v>
      </c>
      <c r="C116" s="43"/>
      <c r="D116" s="20" t="s">
        <v>3</v>
      </c>
      <c r="E116" s="31" t="s">
        <v>90</v>
      </c>
    </row>
    <row r="117" spans="1:5" x14ac:dyDescent="0.25">
      <c r="A117" s="5" t="s">
        <v>49</v>
      </c>
      <c r="B117" s="35" t="s">
        <v>50</v>
      </c>
      <c r="C117" s="41"/>
      <c r="D117" s="6">
        <f>D104</f>
        <v>24.034207513359583</v>
      </c>
      <c r="E117" s="22"/>
    </row>
    <row r="118" spans="1:5" x14ac:dyDescent="0.25">
      <c r="A118" s="5" t="s">
        <v>56</v>
      </c>
      <c r="B118" s="35" t="s">
        <v>57</v>
      </c>
      <c r="C118" s="41"/>
      <c r="D118" s="6">
        <f>D111</f>
        <v>0</v>
      </c>
      <c r="E118" s="22"/>
    </row>
    <row r="119" spans="1:5" x14ac:dyDescent="0.25">
      <c r="A119" s="194" t="s">
        <v>15</v>
      </c>
      <c r="B119" s="195"/>
      <c r="C119" s="196"/>
      <c r="D119" s="10">
        <f>SUM(D117:D118)</f>
        <v>24.034207513359583</v>
      </c>
      <c r="E119" s="22"/>
    </row>
    <row r="122" spans="1:5" x14ac:dyDescent="0.25">
      <c r="A122" s="189" t="s">
        <v>61</v>
      </c>
      <c r="B122" s="189"/>
      <c r="C122" s="189"/>
      <c r="D122" s="189"/>
      <c r="E122" s="189"/>
    </row>
    <row r="124" spans="1:5" x14ac:dyDescent="0.25">
      <c r="A124" s="31">
        <v>5</v>
      </c>
      <c r="B124" s="39" t="s">
        <v>62</v>
      </c>
      <c r="C124" s="43"/>
      <c r="D124" s="31" t="s">
        <v>3</v>
      </c>
      <c r="E124" s="31" t="s">
        <v>90</v>
      </c>
    </row>
    <row r="125" spans="1:5" x14ac:dyDescent="0.25">
      <c r="A125" s="5" t="s">
        <v>4</v>
      </c>
      <c r="B125" s="35" t="s">
        <v>63</v>
      </c>
      <c r="C125" s="41"/>
      <c r="D125" s="6">
        <f>SUMIFS(Uniformes!G:G,Uniformes!H:H,'Servente de Limpeza'!$C$18)</f>
        <v>0</v>
      </c>
      <c r="E125" s="44" t="s">
        <v>190</v>
      </c>
    </row>
    <row r="126" spans="1:5" x14ac:dyDescent="0.25">
      <c r="A126" s="5" t="s">
        <v>6</v>
      </c>
      <c r="B126" s="35" t="s">
        <v>64</v>
      </c>
      <c r="C126" s="41"/>
      <c r="D126" s="6">
        <f>SUMIFS(Materiais!H:H,Materiais!I:I,'Servente de Limpeza'!C18)</f>
        <v>0</v>
      </c>
      <c r="E126" s="44" t="s">
        <v>190</v>
      </c>
    </row>
    <row r="127" spans="1:5" x14ac:dyDescent="0.25">
      <c r="A127" s="5" t="s">
        <v>8</v>
      </c>
      <c r="B127" s="35" t="s">
        <v>65</v>
      </c>
      <c r="C127" s="41"/>
      <c r="D127" s="6">
        <f>IFERROR(SUMIFS(Equipamentos!J:J,Equipamentos!K:K,'Servente de Limpeza'!$C$18)/SUM(Resumo!H5:H9),0)</f>
        <v>0</v>
      </c>
      <c r="E127" s="44" t="s">
        <v>194</v>
      </c>
    </row>
    <row r="128" spans="1:5" x14ac:dyDescent="0.25">
      <c r="A128" s="5" t="s">
        <v>10</v>
      </c>
      <c r="B128" s="63" t="s">
        <v>155</v>
      </c>
      <c r="C128" s="64"/>
      <c r="D128" s="6">
        <f>SUMIFS(EPIs!G:G,EPIs!H:H,'Servente de Limpeza'!$C$18)</f>
        <v>0</v>
      </c>
      <c r="E128" s="44" t="s">
        <v>190</v>
      </c>
    </row>
    <row r="129" spans="1:5" x14ac:dyDescent="0.25">
      <c r="A129" s="5" t="s">
        <v>12</v>
      </c>
      <c r="B129" s="35" t="s">
        <v>276</v>
      </c>
      <c r="C129" s="41"/>
      <c r="D129" s="6"/>
      <c r="E129" s="44" t="s">
        <v>190</v>
      </c>
    </row>
    <row r="130" spans="1:5" x14ac:dyDescent="0.25">
      <c r="A130" s="194" t="s">
        <v>34</v>
      </c>
      <c r="B130" s="195"/>
      <c r="C130" s="196"/>
      <c r="D130" s="10">
        <f>SUM(D125:D129)</f>
        <v>0</v>
      </c>
      <c r="E130" s="22"/>
    </row>
    <row r="133" spans="1:5" x14ac:dyDescent="0.25">
      <c r="A133" s="189" t="s">
        <v>66</v>
      </c>
      <c r="B133" s="189"/>
      <c r="C133" s="189"/>
      <c r="D133" s="189"/>
      <c r="E133" s="189"/>
    </row>
    <row r="135" spans="1:5" x14ac:dyDescent="0.25">
      <c r="A135" s="31">
        <v>6</v>
      </c>
      <c r="B135" s="11" t="s">
        <v>67</v>
      </c>
      <c r="C135" s="31" t="s">
        <v>24</v>
      </c>
      <c r="D135" s="20" t="s">
        <v>3</v>
      </c>
      <c r="E135" s="31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154.48954565946428</v>
      </c>
      <c r="E136" s="44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324.42804588487502</v>
      </c>
      <c r="E137" s="44"/>
    </row>
    <row r="138" spans="1:5" x14ac:dyDescent="0.25">
      <c r="A138" s="5" t="s">
        <v>8</v>
      </c>
      <c r="B138" s="7" t="s">
        <v>118</v>
      </c>
      <c r="C138" s="13">
        <f>C140+C141+C144</f>
        <v>0.14250000000000002</v>
      </c>
      <c r="D138" s="6">
        <f>SUM(D139:D144)</f>
        <v>593.05068446010682</v>
      </c>
      <c r="E138" s="44"/>
    </row>
    <row r="139" spans="1:5" ht="15.75" hidden="1" customHeight="1" x14ac:dyDescent="0.25">
      <c r="A139" s="5"/>
      <c r="B139" s="7" t="s">
        <v>70</v>
      </c>
      <c r="C139" s="12"/>
      <c r="D139" s="6"/>
      <c r="E139" s="44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68.669026621696574</v>
      </c>
      <c r="E140" s="44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316.2936983787236</v>
      </c>
      <c r="E141" s="44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4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4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Real",Informações!$B$5)))</f>
        <v>0.05</v>
      </c>
      <c r="D144" s="6">
        <f>(($D$31+$D$78+$D$90+$D$119+$D$130+$D$136+$D$137)/(1-$C$138))*C144</f>
        <v>208.0879594596866</v>
      </c>
      <c r="E144" s="44"/>
    </row>
    <row r="145" spans="1:5" x14ac:dyDescent="0.25">
      <c r="A145" s="31" t="s">
        <v>34</v>
      </c>
      <c r="B145" s="31"/>
      <c r="C145" s="10"/>
      <c r="D145" s="10">
        <f>D136+D137+D138</f>
        <v>1071.9682760044461</v>
      </c>
      <c r="E145" s="22"/>
    </row>
    <row r="148" spans="1:5" x14ac:dyDescent="0.25">
      <c r="A148" s="189" t="s">
        <v>73</v>
      </c>
      <c r="B148" s="189"/>
      <c r="C148" s="189"/>
      <c r="D148" s="189"/>
      <c r="E148" s="189"/>
    </row>
    <row r="150" spans="1:5" x14ac:dyDescent="0.25">
      <c r="A150" s="31"/>
      <c r="B150" s="39" t="s">
        <v>74</v>
      </c>
      <c r="C150" s="43"/>
      <c r="D150" s="20" t="s">
        <v>3</v>
      </c>
      <c r="E150" s="20" t="s">
        <v>90</v>
      </c>
    </row>
    <row r="151" spans="1:5" x14ac:dyDescent="0.25">
      <c r="A151" s="5" t="s">
        <v>4</v>
      </c>
      <c r="B151" s="35" t="s">
        <v>1</v>
      </c>
      <c r="C151" s="41"/>
      <c r="D151" s="6">
        <f>D31</f>
        <v>1356.22</v>
      </c>
      <c r="E151" s="22"/>
    </row>
    <row r="152" spans="1:5" x14ac:dyDescent="0.25">
      <c r="A152" s="5" t="s">
        <v>6</v>
      </c>
      <c r="B152" s="35" t="s">
        <v>16</v>
      </c>
      <c r="C152" s="41"/>
      <c r="D152" s="6">
        <f>D78</f>
        <v>1593.4147633333334</v>
      </c>
      <c r="E152" s="22"/>
    </row>
    <row r="153" spans="1:5" x14ac:dyDescent="0.25">
      <c r="A153" s="5" t="s">
        <v>8</v>
      </c>
      <c r="B153" s="35" t="s">
        <v>41</v>
      </c>
      <c r="C153" s="41"/>
      <c r="D153" s="6">
        <f>D90</f>
        <v>116.12194234259259</v>
      </c>
      <c r="E153" s="22"/>
    </row>
    <row r="154" spans="1:5" x14ac:dyDescent="0.25">
      <c r="A154" s="5" t="s">
        <v>10</v>
      </c>
      <c r="B154" s="35" t="s">
        <v>47</v>
      </c>
      <c r="C154" s="40"/>
      <c r="D154" s="6">
        <f>D119</f>
        <v>24.034207513359583</v>
      </c>
      <c r="E154" s="22"/>
    </row>
    <row r="155" spans="1:5" x14ac:dyDescent="0.25">
      <c r="A155" s="5" t="s">
        <v>12</v>
      </c>
      <c r="B155" s="35" t="s">
        <v>61</v>
      </c>
      <c r="C155" s="40"/>
      <c r="D155" s="6">
        <f>D130</f>
        <v>0</v>
      </c>
      <c r="E155" s="22"/>
    </row>
    <row r="156" spans="1:5" ht="15.75" customHeight="1" x14ac:dyDescent="0.25">
      <c r="A156" s="194" t="s">
        <v>75</v>
      </c>
      <c r="B156" s="195"/>
      <c r="C156" s="196"/>
      <c r="D156" s="10">
        <f>SUM(D151:D155)</f>
        <v>3089.7909131892857</v>
      </c>
      <c r="E156" s="22"/>
    </row>
    <row r="157" spans="1:5" x14ac:dyDescent="0.25">
      <c r="A157" s="23" t="s">
        <v>29</v>
      </c>
      <c r="B157" s="35" t="s">
        <v>76</v>
      </c>
      <c r="C157" s="40"/>
      <c r="D157" s="6">
        <f>D145</f>
        <v>1071.9682760044461</v>
      </c>
      <c r="E157" s="22"/>
    </row>
    <row r="158" spans="1:5" ht="15.75" customHeight="1" x14ac:dyDescent="0.25">
      <c r="A158" s="194" t="s">
        <v>77</v>
      </c>
      <c r="B158" s="195"/>
      <c r="C158" s="196"/>
      <c r="D158" s="10">
        <f>D156+D157</f>
        <v>4161.7591891937318</v>
      </c>
      <c r="E158" s="22"/>
    </row>
    <row r="159" spans="1:5" ht="15.75" customHeight="1" x14ac:dyDescent="0.25">
      <c r="A159" s="194" t="s">
        <v>83</v>
      </c>
      <c r="B159" s="195"/>
      <c r="C159" s="196"/>
      <c r="D159" s="10">
        <f>D158*$E$12*$D$12</f>
        <v>12485.277567581195</v>
      </c>
      <c r="E159" s="22"/>
    </row>
    <row r="160" spans="1:5" ht="15.75" customHeight="1" x14ac:dyDescent="0.25">
      <c r="A160" s="194" t="s">
        <v>84</v>
      </c>
      <c r="B160" s="195"/>
      <c r="C160" s="196"/>
      <c r="D160" s="10">
        <f>D159*12</f>
        <v>149823.33081097435</v>
      </c>
      <c r="E160" s="22"/>
    </row>
  </sheetData>
  <mergeCells count="54">
    <mergeCell ref="A1:E1"/>
    <mergeCell ref="A10:E10"/>
    <mergeCell ref="B61:C61"/>
    <mergeCell ref="A31:B31"/>
    <mergeCell ref="C19:E19"/>
    <mergeCell ref="C15:E15"/>
    <mergeCell ref="C16:E16"/>
    <mergeCell ref="C17:E17"/>
    <mergeCell ref="C18:E18"/>
    <mergeCell ref="C5:D5"/>
    <mergeCell ref="C6:D6"/>
    <mergeCell ref="C7:D7"/>
    <mergeCell ref="C8:D8"/>
    <mergeCell ref="A9:D9"/>
    <mergeCell ref="A22:E22"/>
    <mergeCell ref="A34:E34"/>
    <mergeCell ref="A69:C69"/>
    <mergeCell ref="A42:B42"/>
    <mergeCell ref="A56:B56"/>
    <mergeCell ref="B64:C64"/>
    <mergeCell ref="B65:C65"/>
    <mergeCell ref="B66:C66"/>
    <mergeCell ref="B67:C67"/>
    <mergeCell ref="B68:C68"/>
    <mergeCell ref="A45:E45"/>
    <mergeCell ref="A59:E59"/>
    <mergeCell ref="B62:C62"/>
    <mergeCell ref="B63:C63"/>
    <mergeCell ref="A160:C160"/>
    <mergeCell ref="A130:C130"/>
    <mergeCell ref="A119:C119"/>
    <mergeCell ref="A156:C156"/>
    <mergeCell ref="A158:C158"/>
    <mergeCell ref="A159:C159"/>
    <mergeCell ref="A122:E122"/>
    <mergeCell ref="A133:E133"/>
    <mergeCell ref="A148:E148"/>
    <mergeCell ref="A36:E36"/>
    <mergeCell ref="C12:C13"/>
    <mergeCell ref="A11:B11"/>
    <mergeCell ref="A12:B13"/>
    <mergeCell ref="D12:D13"/>
    <mergeCell ref="E12:E13"/>
    <mergeCell ref="A72:E72"/>
    <mergeCell ref="A81:E81"/>
    <mergeCell ref="A93:E93"/>
    <mergeCell ref="A95:E95"/>
    <mergeCell ref="A114:E114"/>
    <mergeCell ref="B110:C110"/>
    <mergeCell ref="A111:C111"/>
    <mergeCell ref="A104:C104"/>
    <mergeCell ref="A107:E107"/>
    <mergeCell ref="B109:C109"/>
    <mergeCell ref="A78:C78"/>
  </mergeCells>
  <dataValidations disablePrompts="1" count="2">
    <dataValidation type="list" allowBlank="1" showInputMessage="1" showErrorMessage="1" sqref="G1">
      <formula1>$J$1</formula1>
    </dataValidation>
    <dataValidation type="list" allowBlank="1" showInputMessage="1" showErrorMessage="1" sqref="G3">
      <formula1>$P$1:$P$3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showGridLines="0" zoomScaleNormal="100" workbookViewId="0">
      <selection activeCell="D126" sqref="D126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1.5703125" style="1" customWidth="1"/>
    <col min="7" max="7" width="15.140625" style="1" customWidth="1"/>
    <col min="8" max="16384" width="9.140625" style="1"/>
  </cols>
  <sheetData>
    <row r="1" spans="1:9" x14ac:dyDescent="0.25">
      <c r="A1" s="189" t="s">
        <v>0</v>
      </c>
      <c r="B1" s="189"/>
      <c r="C1" s="189"/>
      <c r="D1" s="189"/>
      <c r="E1" s="189"/>
      <c r="I1" s="45"/>
    </row>
    <row r="2" spans="1:9" x14ac:dyDescent="0.25">
      <c r="A2" s="60" t="s">
        <v>107</v>
      </c>
      <c r="B2" s="60"/>
      <c r="G2" s="88"/>
      <c r="H2" s="15"/>
    </row>
    <row r="3" spans="1:9" x14ac:dyDescent="0.25">
      <c r="A3" s="22" t="s">
        <v>108</v>
      </c>
      <c r="B3" s="22"/>
      <c r="G3" s="87"/>
      <c r="H3" s="15"/>
    </row>
    <row r="4" spans="1:9" x14ac:dyDescent="0.25">
      <c r="A4" s="14"/>
      <c r="B4" s="14"/>
      <c r="G4" s="87"/>
      <c r="H4" s="15"/>
    </row>
    <row r="5" spans="1:9" x14ac:dyDescent="0.25">
      <c r="A5" s="5" t="s">
        <v>4</v>
      </c>
      <c r="B5" s="93" t="s">
        <v>109</v>
      </c>
      <c r="C5" s="206"/>
      <c r="D5" s="207"/>
      <c r="H5" s="15"/>
    </row>
    <row r="6" spans="1:9" x14ac:dyDescent="0.25">
      <c r="A6" s="5" t="s">
        <v>6</v>
      </c>
      <c r="B6" s="93" t="s">
        <v>110</v>
      </c>
      <c r="C6" s="207"/>
      <c r="D6" s="207"/>
      <c r="H6" s="15"/>
    </row>
    <row r="7" spans="1:9" ht="25.5" x14ac:dyDescent="0.25">
      <c r="A7" s="5" t="s">
        <v>8</v>
      </c>
      <c r="B7" s="93" t="s">
        <v>111</v>
      </c>
      <c r="C7" s="207"/>
      <c r="D7" s="207"/>
      <c r="H7" s="15"/>
    </row>
    <row r="8" spans="1:9" x14ac:dyDescent="0.25">
      <c r="A8" s="5" t="s">
        <v>10</v>
      </c>
      <c r="B8" s="93" t="s">
        <v>112</v>
      </c>
      <c r="C8" s="207"/>
      <c r="D8" s="207"/>
      <c r="H8" s="15"/>
    </row>
    <row r="9" spans="1:9" x14ac:dyDescent="0.25">
      <c r="A9" s="205"/>
      <c r="B9" s="205"/>
      <c r="C9" s="205"/>
      <c r="D9" s="205"/>
      <c r="E9" s="92"/>
    </row>
    <row r="10" spans="1:9" x14ac:dyDescent="0.25">
      <c r="A10" s="189" t="s">
        <v>78</v>
      </c>
      <c r="B10" s="189"/>
      <c r="C10" s="189"/>
      <c r="D10" s="189"/>
      <c r="E10" s="189"/>
    </row>
    <row r="11" spans="1:9" ht="25.5" customHeight="1" x14ac:dyDescent="0.25">
      <c r="A11" s="199" t="s">
        <v>79</v>
      </c>
      <c r="B11" s="199"/>
      <c r="C11" s="86" t="s">
        <v>80</v>
      </c>
      <c r="D11" s="86" t="s">
        <v>81</v>
      </c>
      <c r="E11" s="86" t="s">
        <v>189</v>
      </c>
    </row>
    <row r="12" spans="1:9" ht="15.75" customHeight="1" x14ac:dyDescent="0.25">
      <c r="A12" s="200" t="s">
        <v>104</v>
      </c>
      <c r="B12" s="200"/>
      <c r="C12" s="202" t="s">
        <v>82</v>
      </c>
      <c r="D12" s="202">
        <v>1</v>
      </c>
      <c r="E12" s="209">
        <v>1</v>
      </c>
    </row>
    <row r="13" spans="1:9" x14ac:dyDescent="0.25">
      <c r="A13" s="201"/>
      <c r="B13" s="201"/>
      <c r="C13" s="203"/>
      <c r="D13" s="203"/>
      <c r="E13" s="210"/>
    </row>
    <row r="14" spans="1:9" x14ac:dyDescent="0.25">
      <c r="A14" s="4"/>
      <c r="B14" s="4"/>
      <c r="C14" s="4"/>
      <c r="D14" s="4"/>
      <c r="E14" s="4"/>
    </row>
    <row r="15" spans="1:9" x14ac:dyDescent="0.25">
      <c r="A15" s="91">
        <v>1</v>
      </c>
      <c r="B15" s="37" t="s">
        <v>113</v>
      </c>
      <c r="C15" s="204"/>
      <c r="D15" s="204"/>
      <c r="E15" s="204"/>
      <c r="F15" s="36"/>
    </row>
    <row r="16" spans="1:9" x14ac:dyDescent="0.25">
      <c r="A16" s="91">
        <v>2</v>
      </c>
      <c r="B16" s="37" t="s">
        <v>114</v>
      </c>
      <c r="C16" s="204"/>
      <c r="D16" s="204"/>
      <c r="E16" s="204"/>
      <c r="F16" s="36"/>
    </row>
    <row r="17" spans="1:6" x14ac:dyDescent="0.25">
      <c r="A17" s="91">
        <v>3</v>
      </c>
      <c r="B17" s="37" t="s">
        <v>115</v>
      </c>
      <c r="C17" s="212">
        <f>$D$25+$D$30</f>
        <v>1356.22</v>
      </c>
      <c r="D17" s="212"/>
      <c r="E17" s="212"/>
      <c r="F17" s="36"/>
    </row>
    <row r="18" spans="1:6" x14ac:dyDescent="0.25">
      <c r="A18" s="91">
        <v>4</v>
      </c>
      <c r="B18" s="37" t="s">
        <v>116</v>
      </c>
      <c r="C18" s="204" t="s">
        <v>214</v>
      </c>
      <c r="D18" s="204"/>
      <c r="E18" s="204"/>
      <c r="F18" s="36"/>
    </row>
    <row r="19" spans="1:6" x14ac:dyDescent="0.25">
      <c r="A19" s="91">
        <v>5</v>
      </c>
      <c r="B19" s="37" t="s">
        <v>117</v>
      </c>
      <c r="C19" s="211"/>
      <c r="D19" s="204"/>
      <c r="E19" s="204"/>
      <c r="F19" s="36"/>
    </row>
    <row r="20" spans="1:6" x14ac:dyDescent="0.25">
      <c r="A20" s="4"/>
      <c r="B20" s="4"/>
      <c r="C20" s="4"/>
      <c r="D20" s="4"/>
      <c r="E20" s="4"/>
    </row>
    <row r="22" spans="1:6" x14ac:dyDescent="0.25">
      <c r="A22" s="189" t="s">
        <v>1</v>
      </c>
      <c r="B22" s="189"/>
      <c r="C22" s="189"/>
      <c r="D22" s="189"/>
      <c r="E22" s="189"/>
    </row>
    <row r="24" spans="1:6" ht="25.5" customHeight="1" x14ac:dyDescent="0.25">
      <c r="A24" s="31">
        <v>1</v>
      </c>
      <c r="B24" s="89" t="s">
        <v>2</v>
      </c>
      <c r="C24" s="31" t="s">
        <v>24</v>
      </c>
      <c r="D24" s="31" t="s">
        <v>3</v>
      </c>
      <c r="E24" s="31" t="s">
        <v>129</v>
      </c>
    </row>
    <row r="25" spans="1:6" x14ac:dyDescent="0.25">
      <c r="A25" s="5" t="s">
        <v>4</v>
      </c>
      <c r="B25" s="93" t="s">
        <v>5</v>
      </c>
      <c r="C25" s="13"/>
      <c r="D25" s="6">
        <v>1305.9100000000001</v>
      </c>
      <c r="E25" s="22" t="s">
        <v>140</v>
      </c>
    </row>
    <row r="26" spans="1:6" x14ac:dyDescent="0.25">
      <c r="A26" s="5" t="s">
        <v>6</v>
      </c>
      <c r="B26" s="93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93" t="s">
        <v>9</v>
      </c>
      <c r="C27" s="13">
        <v>0.4</v>
      </c>
      <c r="D27" s="6">
        <f>C27*Informações!$B$3</f>
        <v>484.8</v>
      </c>
      <c r="E27" s="22" t="s">
        <v>219</v>
      </c>
    </row>
    <row r="28" spans="1:6" x14ac:dyDescent="0.25">
      <c r="A28" s="5" t="s">
        <v>10</v>
      </c>
      <c r="B28" s="93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93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93" t="s">
        <v>105</v>
      </c>
      <c r="C30" s="13"/>
      <c r="D30" s="6">
        <v>50.31</v>
      </c>
      <c r="E30" s="22" t="s">
        <v>140</v>
      </c>
    </row>
    <row r="31" spans="1:6" x14ac:dyDescent="0.25">
      <c r="A31" s="194" t="s">
        <v>15</v>
      </c>
      <c r="B31" s="196"/>
      <c r="C31" s="10"/>
      <c r="D31" s="10">
        <f>SUM(D25:D30)</f>
        <v>1841.02</v>
      </c>
      <c r="E31" s="10"/>
    </row>
    <row r="34" spans="1:5" x14ac:dyDescent="0.25">
      <c r="A34" s="189" t="s">
        <v>16</v>
      </c>
      <c r="B34" s="189"/>
      <c r="C34" s="189"/>
      <c r="D34" s="189"/>
      <c r="E34" s="189"/>
    </row>
    <row r="35" spans="1:5" x14ac:dyDescent="0.25">
      <c r="A35" s="2"/>
    </row>
    <row r="36" spans="1:5" x14ac:dyDescent="0.25">
      <c r="A36" s="189" t="s">
        <v>17</v>
      </c>
      <c r="B36" s="189"/>
      <c r="C36" s="189"/>
      <c r="D36" s="189"/>
      <c r="E36" s="189"/>
    </row>
    <row r="38" spans="1:5" x14ac:dyDescent="0.25">
      <c r="A38" s="31" t="s">
        <v>18</v>
      </c>
      <c r="B38" s="31" t="s">
        <v>19</v>
      </c>
      <c r="C38" s="31" t="s">
        <v>24</v>
      </c>
      <c r="D38" s="31" t="s">
        <v>3</v>
      </c>
      <c r="E38" s="31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153.41833333333332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153.41833333333332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51.139444444444443</v>
      </c>
      <c r="E41" s="22" t="s">
        <v>143</v>
      </c>
    </row>
    <row r="42" spans="1:5" x14ac:dyDescent="0.25">
      <c r="A42" s="194" t="s">
        <v>15</v>
      </c>
      <c r="B42" s="196"/>
      <c r="C42" s="10"/>
      <c r="D42" s="10">
        <f>SUM(D39:D41)</f>
        <v>357.97611111111109</v>
      </c>
      <c r="E42" s="22"/>
    </row>
    <row r="43" spans="1:5" x14ac:dyDescent="0.25">
      <c r="D43" s="61"/>
    </row>
    <row r="45" spans="1:5" x14ac:dyDescent="0.25">
      <c r="A45" s="189" t="s">
        <v>21</v>
      </c>
      <c r="B45" s="189"/>
      <c r="C45" s="189"/>
      <c r="D45" s="189"/>
      <c r="E45" s="189"/>
    </row>
    <row r="47" spans="1:5" x14ac:dyDescent="0.25">
      <c r="A47" s="31" t="s">
        <v>22</v>
      </c>
      <c r="B47" s="31" t="s">
        <v>23</v>
      </c>
      <c r="C47" s="31" t="s">
        <v>24</v>
      </c>
      <c r="D47" s="31" t="s">
        <v>3</v>
      </c>
      <c r="E47" s="31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439.79922222222223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54.974902777777778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3">
        <f>0.03*0.5</f>
        <v>1.4999999999999999E-2</v>
      </c>
      <c r="D50" s="6">
        <f t="shared" si="0"/>
        <v>32.984941666666664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32.984941666666664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21.989961111111111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13.193976666666666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4.3979922222222223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175.91968888888889</v>
      </c>
      <c r="E55" s="7" t="s">
        <v>149</v>
      </c>
    </row>
    <row r="56" spans="1:5" x14ac:dyDescent="0.25">
      <c r="A56" s="194" t="s">
        <v>34</v>
      </c>
      <c r="B56" s="196"/>
      <c r="C56" s="42">
        <f>SUM(C48:C55)</f>
        <v>0.35300000000000004</v>
      </c>
      <c r="D56" s="10">
        <f>SUM(D48:D55)</f>
        <v>776.24562722222242</v>
      </c>
      <c r="E56" s="22"/>
    </row>
    <row r="59" spans="1:5" x14ac:dyDescent="0.25">
      <c r="A59" s="189" t="s">
        <v>35</v>
      </c>
      <c r="B59" s="189"/>
      <c r="C59" s="189"/>
      <c r="D59" s="189"/>
      <c r="E59" s="189"/>
    </row>
    <row r="61" spans="1:5" x14ac:dyDescent="0.25">
      <c r="A61" s="31" t="s">
        <v>36</v>
      </c>
      <c r="B61" s="194" t="s">
        <v>37</v>
      </c>
      <c r="C61" s="196"/>
      <c r="D61" s="31" t="s">
        <v>3</v>
      </c>
      <c r="E61" s="31" t="s">
        <v>129</v>
      </c>
    </row>
    <row r="62" spans="1:5" ht="64.5" x14ac:dyDescent="0.25">
      <c r="A62" s="5" t="s">
        <v>4</v>
      </c>
      <c r="B62" s="197" t="s">
        <v>120</v>
      </c>
      <c r="C62" s="198"/>
      <c r="D62" s="6">
        <f>IF(VLOOKUP(B62,Beneficios!$A$1:$F$8,1,FALSE)='Servente de Limpeza - Banheiro'!B62,VLOOKUP(B62,Beneficios!$A$1:$F$8,6,FALSE))-$D$25*Beneficios!$E$2</f>
        <v>179.04540000000003</v>
      </c>
      <c r="E62" s="44" t="s">
        <v>139</v>
      </c>
    </row>
    <row r="63" spans="1:5" x14ac:dyDescent="0.25">
      <c r="A63" s="5" t="s">
        <v>6</v>
      </c>
      <c r="B63" s="197" t="s">
        <v>38</v>
      </c>
      <c r="C63" s="198">
        <f>22*16-(22*16)*20%</f>
        <v>281.60000000000002</v>
      </c>
      <c r="D63" s="6">
        <f>IF(VLOOKUP(B63,Beneficios!$A$1:$F$8,1,FALSE)='Servente de Limpeza - Banheiro'!B63,VLOOKUP(B63,Beneficios!$A$1:$F$8,6,FALSE))</f>
        <v>326.12800000000004</v>
      </c>
      <c r="E63" s="22" t="s">
        <v>220</v>
      </c>
    </row>
    <row r="64" spans="1:5" x14ac:dyDescent="0.25">
      <c r="A64" s="5" t="s">
        <v>8</v>
      </c>
      <c r="B64" s="197" t="s">
        <v>106</v>
      </c>
      <c r="C64" s="198">
        <f>120</f>
        <v>120</v>
      </c>
      <c r="D64" s="6">
        <f>IF(VLOOKUP(B64,Beneficios!$A$1:$F$8,1,FALSE)='Servente de Limpeza - Banheiro'!B64,VLOOKUP(B64,Beneficios!$A$1:$F$8,6,FALSE))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197" t="s">
        <v>215</v>
      </c>
      <c r="C65" s="198"/>
      <c r="D65" s="6">
        <v>49</v>
      </c>
      <c r="E65" s="22" t="s">
        <v>140</v>
      </c>
    </row>
    <row r="66" spans="1:5" x14ac:dyDescent="0.25">
      <c r="A66" s="5" t="s">
        <v>12</v>
      </c>
      <c r="B66" s="197"/>
      <c r="C66" s="198"/>
      <c r="D66" s="6"/>
      <c r="E66" s="22"/>
    </row>
    <row r="67" spans="1:5" x14ac:dyDescent="0.25">
      <c r="A67" s="5" t="s">
        <v>29</v>
      </c>
      <c r="B67" s="197"/>
      <c r="C67" s="198"/>
      <c r="D67" s="6"/>
      <c r="E67" s="22"/>
    </row>
    <row r="68" spans="1:5" x14ac:dyDescent="0.25">
      <c r="A68" s="5" t="s">
        <v>14</v>
      </c>
      <c r="B68" s="197"/>
      <c r="C68" s="198"/>
      <c r="D68" s="6"/>
      <c r="E68" s="22"/>
    </row>
    <row r="69" spans="1:5" x14ac:dyDescent="0.25">
      <c r="A69" s="194" t="s">
        <v>15</v>
      </c>
      <c r="B69" s="195"/>
      <c r="C69" s="196"/>
      <c r="D69" s="10">
        <f>SUM(D62:D68)</f>
        <v>684.97340000000008</v>
      </c>
      <c r="E69" s="22"/>
    </row>
    <row r="72" spans="1:5" x14ac:dyDescent="0.25">
      <c r="A72" s="189" t="s">
        <v>39</v>
      </c>
      <c r="B72" s="189"/>
      <c r="C72" s="189"/>
      <c r="D72" s="189"/>
      <c r="E72" s="189"/>
    </row>
    <row r="74" spans="1:5" x14ac:dyDescent="0.25">
      <c r="A74" s="31">
        <v>2</v>
      </c>
      <c r="B74" s="89" t="s">
        <v>40</v>
      </c>
      <c r="C74" s="90"/>
      <c r="D74" s="31" t="s">
        <v>3</v>
      </c>
      <c r="E74" s="31" t="s">
        <v>90</v>
      </c>
    </row>
    <row r="75" spans="1:5" x14ac:dyDescent="0.25">
      <c r="A75" s="5" t="s">
        <v>18</v>
      </c>
      <c r="B75" s="93" t="s">
        <v>19</v>
      </c>
      <c r="C75" s="94"/>
      <c r="D75" s="6">
        <f>D42</f>
        <v>357.97611111111109</v>
      </c>
      <c r="E75" s="22"/>
    </row>
    <row r="76" spans="1:5" x14ac:dyDescent="0.25">
      <c r="A76" s="5" t="s">
        <v>22</v>
      </c>
      <c r="B76" s="93" t="s">
        <v>23</v>
      </c>
      <c r="C76" s="94"/>
      <c r="D76" s="6">
        <f>D56</f>
        <v>776.24562722222242</v>
      </c>
      <c r="E76" s="22"/>
    </row>
    <row r="77" spans="1:5" x14ac:dyDescent="0.25">
      <c r="A77" s="5" t="s">
        <v>36</v>
      </c>
      <c r="B77" s="93" t="s">
        <v>37</v>
      </c>
      <c r="C77" s="94"/>
      <c r="D77" s="6">
        <f>D69</f>
        <v>684.97340000000008</v>
      </c>
      <c r="E77" s="22"/>
    </row>
    <row r="78" spans="1:5" x14ac:dyDescent="0.25">
      <c r="A78" s="194" t="s">
        <v>15</v>
      </c>
      <c r="B78" s="195"/>
      <c r="C78" s="196"/>
      <c r="D78" s="10">
        <f>SUM(D75:D77)</f>
        <v>1819.1951383333337</v>
      </c>
      <c r="E78" s="22"/>
    </row>
    <row r="79" spans="1:5" x14ac:dyDescent="0.25">
      <c r="A79" s="3"/>
    </row>
    <row r="81" spans="1:5" x14ac:dyDescent="0.25">
      <c r="A81" s="189" t="s">
        <v>41</v>
      </c>
      <c r="B81" s="189"/>
      <c r="C81" s="189"/>
      <c r="D81" s="189"/>
      <c r="E81" s="189"/>
    </row>
    <row r="83" spans="1:5" x14ac:dyDescent="0.25">
      <c r="A83" s="31">
        <v>3</v>
      </c>
      <c r="B83" s="31" t="s">
        <v>42</v>
      </c>
      <c r="C83" s="31" t="s">
        <v>24</v>
      </c>
      <c r="D83" s="31" t="s">
        <v>3</v>
      </c>
      <c r="E83" s="31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9.1624837962962964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0.73299870370370368</v>
      </c>
      <c r="E85" s="44" t="s">
        <v>151</v>
      </c>
    </row>
    <row r="86" spans="1:5" ht="25.5" x14ac:dyDescent="0.25">
      <c r="A86" s="5" t="s">
        <v>8</v>
      </c>
      <c r="B86" s="9" t="s">
        <v>119</v>
      </c>
      <c r="C86" s="34">
        <v>0.04</v>
      </c>
      <c r="D86" s="6">
        <f t="shared" si="1"/>
        <v>87.959844444444443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42.758257716049386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6.8638888888888899E-3</v>
      </c>
      <c r="D88" s="6">
        <f t="shared" si="1"/>
        <v>15.093664973765433</v>
      </c>
      <c r="E88" s="44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4"/>
    </row>
    <row r="90" spans="1:5" x14ac:dyDescent="0.25">
      <c r="A90" s="31" t="s">
        <v>15</v>
      </c>
      <c r="B90" s="31"/>
      <c r="C90" s="10"/>
      <c r="D90" s="10">
        <f>SUM(D84:D89)</f>
        <v>155.70724963425926</v>
      </c>
      <c r="E90" s="44"/>
    </row>
    <row r="93" spans="1:5" x14ac:dyDescent="0.25">
      <c r="A93" s="189" t="s">
        <v>47</v>
      </c>
      <c r="B93" s="189"/>
      <c r="C93" s="189"/>
      <c r="D93" s="189"/>
      <c r="E93" s="189"/>
    </row>
    <row r="95" spans="1:5" x14ac:dyDescent="0.25">
      <c r="A95" s="189" t="s">
        <v>48</v>
      </c>
      <c r="B95" s="189"/>
      <c r="C95" s="189"/>
      <c r="D95" s="189"/>
      <c r="E95" s="189"/>
    </row>
    <row r="96" spans="1:5" x14ac:dyDescent="0.25">
      <c r="A96" s="2"/>
    </row>
    <row r="97" spans="1:5" x14ac:dyDescent="0.25">
      <c r="A97" s="31" t="s">
        <v>49</v>
      </c>
      <c r="B97" s="31" t="s">
        <v>50</v>
      </c>
      <c r="C97" s="31" t="s">
        <v>24</v>
      </c>
      <c r="D97" s="31" t="s">
        <v>3</v>
      </c>
      <c r="E97" s="31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15.843497759153227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0.7504647363002932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1.3329670773376892</v>
      </c>
      <c r="E101" s="54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3.5013682736826484</v>
      </c>
      <c r="E102" s="44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8.4868843848791382</v>
      </c>
      <c r="E103" s="44"/>
    </row>
    <row r="104" spans="1:5" x14ac:dyDescent="0.25">
      <c r="A104" s="194" t="s">
        <v>34</v>
      </c>
      <c r="B104" s="195"/>
      <c r="C104" s="196"/>
      <c r="D104" s="10">
        <f>SUM(D98:D103)</f>
        <v>29.915182231352993</v>
      </c>
      <c r="E104" s="22"/>
    </row>
    <row r="107" spans="1:5" x14ac:dyDescent="0.25">
      <c r="A107" s="208" t="s">
        <v>55</v>
      </c>
      <c r="B107" s="208"/>
      <c r="C107" s="208"/>
      <c r="D107" s="208"/>
      <c r="E107" s="208"/>
    </row>
    <row r="108" spans="1:5" x14ac:dyDescent="0.25">
      <c r="A108" s="2"/>
    </row>
    <row r="109" spans="1:5" x14ac:dyDescent="0.25">
      <c r="A109" s="31" t="s">
        <v>56</v>
      </c>
      <c r="B109" s="194" t="s">
        <v>57</v>
      </c>
      <c r="C109" s="196"/>
      <c r="D109" s="31" t="s">
        <v>3</v>
      </c>
      <c r="E109" s="31" t="s">
        <v>129</v>
      </c>
    </row>
    <row r="110" spans="1:5" x14ac:dyDescent="0.25">
      <c r="A110" s="5" t="s">
        <v>4</v>
      </c>
      <c r="B110" s="197" t="s">
        <v>58</v>
      </c>
      <c r="C110" s="198"/>
      <c r="D110" s="6"/>
      <c r="E110" s="22"/>
    </row>
    <row r="111" spans="1:5" x14ac:dyDescent="0.25">
      <c r="A111" s="194" t="s">
        <v>15</v>
      </c>
      <c r="B111" s="195"/>
      <c r="C111" s="196"/>
      <c r="D111" s="6">
        <f>D110</f>
        <v>0</v>
      </c>
      <c r="E111" s="22"/>
    </row>
    <row r="114" spans="1:5" x14ac:dyDescent="0.25">
      <c r="A114" s="189" t="s">
        <v>59</v>
      </c>
      <c r="B114" s="189"/>
      <c r="C114" s="189"/>
      <c r="D114" s="189"/>
      <c r="E114" s="189"/>
    </row>
    <row r="115" spans="1:5" x14ac:dyDescent="0.25">
      <c r="A115" s="2"/>
    </row>
    <row r="116" spans="1:5" x14ac:dyDescent="0.25">
      <c r="A116" s="31">
        <v>4</v>
      </c>
      <c r="B116" s="89" t="s">
        <v>60</v>
      </c>
      <c r="C116" s="90"/>
      <c r="D116" s="31" t="s">
        <v>3</v>
      </c>
      <c r="E116" s="31" t="s">
        <v>90</v>
      </c>
    </row>
    <row r="117" spans="1:5" x14ac:dyDescent="0.25">
      <c r="A117" s="5" t="s">
        <v>49</v>
      </c>
      <c r="B117" s="93" t="s">
        <v>50</v>
      </c>
      <c r="C117" s="94"/>
      <c r="D117" s="6">
        <f>D104</f>
        <v>29.915182231352993</v>
      </c>
      <c r="E117" s="22"/>
    </row>
    <row r="118" spans="1:5" x14ac:dyDescent="0.25">
      <c r="A118" s="5" t="s">
        <v>56</v>
      </c>
      <c r="B118" s="93" t="s">
        <v>57</v>
      </c>
      <c r="C118" s="94"/>
      <c r="D118" s="6">
        <f>D111</f>
        <v>0</v>
      </c>
      <c r="E118" s="22"/>
    </row>
    <row r="119" spans="1:5" x14ac:dyDescent="0.25">
      <c r="A119" s="194" t="s">
        <v>15</v>
      </c>
      <c r="B119" s="195"/>
      <c r="C119" s="196"/>
      <c r="D119" s="10">
        <f>SUM(D117:D118)</f>
        <v>29.915182231352993</v>
      </c>
      <c r="E119" s="22"/>
    </row>
    <row r="122" spans="1:5" x14ac:dyDescent="0.25">
      <c r="A122" s="189" t="s">
        <v>61</v>
      </c>
      <c r="B122" s="189"/>
      <c r="C122" s="189"/>
      <c r="D122" s="189"/>
      <c r="E122" s="189"/>
    </row>
    <row r="124" spans="1:5" x14ac:dyDescent="0.25">
      <c r="A124" s="31">
        <v>5</v>
      </c>
      <c r="B124" s="89" t="s">
        <v>62</v>
      </c>
      <c r="C124" s="90"/>
      <c r="D124" s="31" t="s">
        <v>3</v>
      </c>
      <c r="E124" s="31" t="s">
        <v>90</v>
      </c>
    </row>
    <row r="125" spans="1:5" x14ac:dyDescent="0.25">
      <c r="A125" s="5" t="s">
        <v>4</v>
      </c>
      <c r="B125" s="93" t="s">
        <v>63</v>
      </c>
      <c r="C125" s="94"/>
      <c r="D125" s="6">
        <f>SUMIFS(Uniformes!F:F,Uniformes!G:G,"Serviço de Limpeza")</f>
        <v>0</v>
      </c>
      <c r="E125" s="44" t="s">
        <v>190</v>
      </c>
    </row>
    <row r="126" spans="1:5" x14ac:dyDescent="0.25">
      <c r="A126" s="5" t="s">
        <v>6</v>
      </c>
      <c r="B126" s="93" t="s">
        <v>64</v>
      </c>
      <c r="C126" s="94"/>
      <c r="D126" s="6">
        <f>IFERROR(SUM(Materiais!H:H)/SUM(Resumo!$H$5:$H$10),0)</f>
        <v>26.580000000000002</v>
      </c>
      <c r="E126" s="44" t="s">
        <v>190</v>
      </c>
    </row>
    <row r="127" spans="1:5" x14ac:dyDescent="0.25">
      <c r="A127" s="5" t="s">
        <v>8</v>
      </c>
      <c r="B127" s="93" t="s">
        <v>65</v>
      </c>
      <c r="C127" s="94"/>
      <c r="D127" s="6">
        <f>IFERROR(SUMIFS(Equipamentos!J:J,Equipamentos!K:K,"Todos")/SUM(Resumo!H5:H9),0)</f>
        <v>0</v>
      </c>
      <c r="E127" s="44" t="s">
        <v>194</v>
      </c>
    </row>
    <row r="128" spans="1:5" x14ac:dyDescent="0.25">
      <c r="A128" s="5" t="s">
        <v>10</v>
      </c>
      <c r="B128" s="93" t="s">
        <v>155</v>
      </c>
      <c r="C128" s="94"/>
      <c r="D128" s="6">
        <f>SUMIFS(EPIs!G:G,EPIs!H:H,"Serviço de Limpeza")</f>
        <v>0</v>
      </c>
      <c r="E128" s="22"/>
    </row>
    <row r="129" spans="1:5" x14ac:dyDescent="0.25">
      <c r="A129" s="5" t="s">
        <v>12</v>
      </c>
      <c r="B129" s="93"/>
      <c r="C129" s="94"/>
      <c r="D129" s="6"/>
      <c r="E129" s="65"/>
    </row>
    <row r="130" spans="1:5" x14ac:dyDescent="0.25">
      <c r="A130" s="194" t="s">
        <v>34</v>
      </c>
      <c r="B130" s="195"/>
      <c r="C130" s="196"/>
      <c r="D130" s="10">
        <f>SUM(D125:D129)</f>
        <v>26.580000000000002</v>
      </c>
      <c r="E130" s="22"/>
    </row>
    <row r="133" spans="1:5" x14ac:dyDescent="0.25">
      <c r="A133" s="189" t="s">
        <v>66</v>
      </c>
      <c r="B133" s="189"/>
      <c r="C133" s="189"/>
      <c r="D133" s="189"/>
      <c r="E133" s="189"/>
    </row>
    <row r="135" spans="1:5" x14ac:dyDescent="0.25">
      <c r="A135" s="31">
        <v>6</v>
      </c>
      <c r="B135" s="11" t="s">
        <v>67</v>
      </c>
      <c r="C135" s="31" t="s">
        <v>24</v>
      </c>
      <c r="D135" s="31" t="s">
        <v>3</v>
      </c>
      <c r="E135" s="31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193.62087850994732</v>
      </c>
      <c r="E136" s="44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406.60384487088936</v>
      </c>
      <c r="E137" s="44"/>
    </row>
    <row r="138" spans="1:5" x14ac:dyDescent="0.25">
      <c r="A138" s="5" t="s">
        <v>8</v>
      </c>
      <c r="B138" s="7" t="s">
        <v>118</v>
      </c>
      <c r="C138" s="13">
        <f>C140+C141+C144</f>
        <v>9.2499999999999999E-2</v>
      </c>
      <c r="D138" s="6">
        <f>SUM(D139:D144)</f>
        <v>455.88915940069415</v>
      </c>
      <c r="E138" s="44"/>
    </row>
    <row r="139" spans="1:5" ht="15.75" hidden="1" customHeight="1" x14ac:dyDescent="0.25">
      <c r="A139" s="5"/>
      <c r="B139" s="7" t="s">
        <v>70</v>
      </c>
      <c r="C139" s="12"/>
      <c r="D139" s="6"/>
      <c r="E139" s="44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81.320768974177881</v>
      </c>
      <c r="E140" s="44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374.56839042651626</v>
      </c>
      <c r="E141" s="44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4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4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Presumido",Informações!$B$4,IF(Informações!$B$4="Lucro Real",$G$4)))</f>
        <v>0</v>
      </c>
      <c r="D144" s="6">
        <f>(($D$31+$D$78+$D$90+$D$119+$D$130+$D$136+$D$137)/(1-$C$138))*C144</f>
        <v>0</v>
      </c>
      <c r="E144" s="44"/>
    </row>
    <row r="145" spans="1:6" x14ac:dyDescent="0.25">
      <c r="A145" s="31" t="s">
        <v>34</v>
      </c>
      <c r="B145" s="31"/>
      <c r="C145" s="10"/>
      <c r="D145" s="10">
        <f>D136+D137+D138</f>
        <v>1056.1138827815307</v>
      </c>
      <c r="E145" s="22"/>
    </row>
    <row r="148" spans="1:6" x14ac:dyDescent="0.25">
      <c r="A148" s="189" t="s">
        <v>73</v>
      </c>
      <c r="B148" s="189"/>
      <c r="C148" s="189"/>
      <c r="D148" s="189"/>
      <c r="E148" s="189"/>
    </row>
    <row r="150" spans="1:6" x14ac:dyDescent="0.25">
      <c r="A150" s="31"/>
      <c r="B150" s="89" t="s">
        <v>74</v>
      </c>
      <c r="C150" s="90"/>
      <c r="D150" s="31" t="s">
        <v>3</v>
      </c>
      <c r="E150" s="31" t="s">
        <v>90</v>
      </c>
    </row>
    <row r="151" spans="1:6" x14ac:dyDescent="0.25">
      <c r="A151" s="5" t="s">
        <v>4</v>
      </c>
      <c r="B151" s="93" t="s">
        <v>1</v>
      </c>
      <c r="C151" s="94"/>
      <c r="D151" s="6">
        <f>D31</f>
        <v>1841.02</v>
      </c>
      <c r="E151" s="22"/>
    </row>
    <row r="152" spans="1:6" x14ac:dyDescent="0.25">
      <c r="A152" s="5" t="s">
        <v>6</v>
      </c>
      <c r="B152" s="93" t="s">
        <v>16</v>
      </c>
      <c r="C152" s="94"/>
      <c r="D152" s="6">
        <f>D78</f>
        <v>1819.1951383333337</v>
      </c>
      <c r="E152" s="22"/>
    </row>
    <row r="153" spans="1:6" x14ac:dyDescent="0.25">
      <c r="A153" s="5" t="s">
        <v>8</v>
      </c>
      <c r="B153" s="93" t="s">
        <v>41</v>
      </c>
      <c r="C153" s="94"/>
      <c r="D153" s="6">
        <f>D90</f>
        <v>155.70724963425926</v>
      </c>
      <c r="E153" s="22"/>
    </row>
    <row r="154" spans="1:6" x14ac:dyDescent="0.25">
      <c r="A154" s="5" t="s">
        <v>10</v>
      </c>
      <c r="B154" s="93" t="s">
        <v>47</v>
      </c>
      <c r="C154" s="40"/>
      <c r="D154" s="6">
        <f>D119</f>
        <v>29.915182231352993</v>
      </c>
      <c r="E154" s="22"/>
    </row>
    <row r="155" spans="1:6" x14ac:dyDescent="0.25">
      <c r="A155" s="5" t="s">
        <v>12</v>
      </c>
      <c r="B155" s="93" t="s">
        <v>61</v>
      </c>
      <c r="C155" s="40"/>
      <c r="D155" s="6">
        <f>D130</f>
        <v>26.580000000000002</v>
      </c>
      <c r="E155" s="22"/>
    </row>
    <row r="156" spans="1:6" ht="15.75" customHeight="1" x14ac:dyDescent="0.25">
      <c r="A156" s="194" t="s">
        <v>75</v>
      </c>
      <c r="B156" s="195"/>
      <c r="C156" s="196"/>
      <c r="D156" s="10">
        <f>SUM(D151:D155)</f>
        <v>3872.4175701989461</v>
      </c>
      <c r="E156" s="22"/>
    </row>
    <row r="157" spans="1:6" x14ac:dyDescent="0.25">
      <c r="A157" s="23" t="s">
        <v>29</v>
      </c>
      <c r="B157" s="93" t="s">
        <v>76</v>
      </c>
      <c r="C157" s="40"/>
      <c r="D157" s="6">
        <f>D145</f>
        <v>1056.1138827815307</v>
      </c>
      <c r="E157" s="22"/>
    </row>
    <row r="158" spans="1:6" ht="15.75" customHeight="1" x14ac:dyDescent="0.25">
      <c r="A158" s="194" t="s">
        <v>77</v>
      </c>
      <c r="B158" s="195"/>
      <c r="C158" s="196"/>
      <c r="D158" s="10">
        <f>D156+D157</f>
        <v>4928.5314529804764</v>
      </c>
      <c r="E158" s="22"/>
      <c r="F158" s="61">
        <f>D158/22</f>
        <v>224.02415695365801</v>
      </c>
    </row>
    <row r="159" spans="1:6" ht="15.75" customHeight="1" x14ac:dyDescent="0.25">
      <c r="A159" s="194" t="s">
        <v>83</v>
      </c>
      <c r="B159" s="195"/>
      <c r="C159" s="196"/>
      <c r="D159" s="10">
        <f>D158*$E$12*$D$12</f>
        <v>4928.5314529804764</v>
      </c>
      <c r="E159" s="22"/>
    </row>
    <row r="160" spans="1:6" ht="15.75" customHeight="1" x14ac:dyDescent="0.25">
      <c r="A160" s="194" t="s">
        <v>84</v>
      </c>
      <c r="B160" s="195"/>
      <c r="C160" s="196"/>
      <c r="D160" s="10">
        <f>D159*12</f>
        <v>59142.377435765717</v>
      </c>
      <c r="E160" s="22"/>
    </row>
  </sheetData>
  <mergeCells count="54">
    <mergeCell ref="A160:C160"/>
    <mergeCell ref="B110:C110"/>
    <mergeCell ref="A111:C111"/>
    <mergeCell ref="A114:E114"/>
    <mergeCell ref="A119:C119"/>
    <mergeCell ref="A122:E122"/>
    <mergeCell ref="A130:C130"/>
    <mergeCell ref="A133:E133"/>
    <mergeCell ref="A148:E148"/>
    <mergeCell ref="A156:C156"/>
    <mergeCell ref="A158:C158"/>
    <mergeCell ref="A159:C159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showGridLines="0" topLeftCell="A120" zoomScaleNormal="100" workbookViewId="0">
      <selection activeCell="E159" sqref="E159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1.5703125" style="1" customWidth="1"/>
    <col min="7" max="7" width="15.140625" style="1" customWidth="1"/>
    <col min="8" max="16384" width="9.140625" style="1"/>
  </cols>
  <sheetData>
    <row r="1" spans="1:9" x14ac:dyDescent="0.25">
      <c r="A1" s="189" t="s">
        <v>0</v>
      </c>
      <c r="B1" s="189"/>
      <c r="C1" s="189"/>
      <c r="D1" s="189"/>
      <c r="E1" s="189"/>
      <c r="I1" s="45"/>
    </row>
    <row r="2" spans="1:9" x14ac:dyDescent="0.25">
      <c r="A2" s="60" t="s">
        <v>107</v>
      </c>
      <c r="B2" s="60"/>
      <c r="G2" s="88"/>
      <c r="H2" s="15"/>
    </row>
    <row r="3" spans="1:9" x14ac:dyDescent="0.25">
      <c r="A3" s="22" t="s">
        <v>108</v>
      </c>
      <c r="B3" s="22"/>
      <c r="G3" s="87"/>
      <c r="H3" s="15"/>
    </row>
    <row r="4" spans="1:9" x14ac:dyDescent="0.25">
      <c r="A4" s="14"/>
      <c r="B4" s="14"/>
      <c r="G4" s="87"/>
      <c r="H4" s="15"/>
    </row>
    <row r="5" spans="1:9" x14ac:dyDescent="0.25">
      <c r="A5" s="5" t="s">
        <v>4</v>
      </c>
      <c r="B5" s="125" t="s">
        <v>109</v>
      </c>
      <c r="C5" s="206"/>
      <c r="D5" s="207"/>
      <c r="H5" s="15"/>
    </row>
    <row r="6" spans="1:9" x14ac:dyDescent="0.25">
      <c r="A6" s="5" t="s">
        <v>6</v>
      </c>
      <c r="B6" s="125" t="s">
        <v>110</v>
      </c>
      <c r="C6" s="207"/>
      <c r="D6" s="207"/>
      <c r="H6" s="15"/>
    </row>
    <row r="7" spans="1:9" ht="25.5" x14ac:dyDescent="0.25">
      <c r="A7" s="5" t="s">
        <v>8</v>
      </c>
      <c r="B7" s="125" t="s">
        <v>111</v>
      </c>
      <c r="C7" s="207"/>
      <c r="D7" s="207"/>
      <c r="H7" s="15"/>
    </row>
    <row r="8" spans="1:9" x14ac:dyDescent="0.25">
      <c r="A8" s="5" t="s">
        <v>10</v>
      </c>
      <c r="B8" s="125" t="s">
        <v>112</v>
      </c>
      <c r="C8" s="207"/>
      <c r="D8" s="207"/>
      <c r="H8" s="15"/>
    </row>
    <row r="9" spans="1:9" x14ac:dyDescent="0.25">
      <c r="A9" s="205"/>
      <c r="B9" s="205"/>
      <c r="C9" s="205"/>
      <c r="D9" s="205"/>
      <c r="E9" s="130"/>
    </row>
    <row r="10" spans="1:9" x14ac:dyDescent="0.25">
      <c r="A10" s="189" t="s">
        <v>78</v>
      </c>
      <c r="B10" s="189"/>
      <c r="C10" s="189"/>
      <c r="D10" s="189"/>
      <c r="E10" s="189"/>
    </row>
    <row r="11" spans="1:9" ht="25.5" customHeight="1" x14ac:dyDescent="0.25">
      <c r="A11" s="199" t="s">
        <v>79</v>
      </c>
      <c r="B11" s="199"/>
      <c r="C11" s="86" t="s">
        <v>80</v>
      </c>
      <c r="D11" s="86" t="s">
        <v>81</v>
      </c>
      <c r="E11" s="86" t="s">
        <v>189</v>
      </c>
    </row>
    <row r="12" spans="1:9" ht="15.75" customHeight="1" x14ac:dyDescent="0.25">
      <c r="A12" s="200" t="s">
        <v>104</v>
      </c>
      <c r="B12" s="200"/>
      <c r="C12" s="202" t="s">
        <v>82</v>
      </c>
      <c r="D12" s="202"/>
      <c r="E12" s="209"/>
    </row>
    <row r="13" spans="1:9" x14ac:dyDescent="0.25">
      <c r="A13" s="201"/>
      <c r="B13" s="201"/>
      <c r="C13" s="203"/>
      <c r="D13" s="203"/>
      <c r="E13" s="210"/>
    </row>
    <row r="14" spans="1:9" x14ac:dyDescent="0.25">
      <c r="A14" s="4"/>
      <c r="B14" s="4"/>
      <c r="C14" s="4"/>
      <c r="D14" s="4"/>
      <c r="E14" s="4"/>
    </row>
    <row r="15" spans="1:9" x14ac:dyDescent="0.25">
      <c r="A15" s="129">
        <v>1</v>
      </c>
      <c r="B15" s="37" t="s">
        <v>113</v>
      </c>
      <c r="C15" s="204"/>
      <c r="D15" s="204"/>
      <c r="E15" s="204"/>
      <c r="F15" s="36"/>
    </row>
    <row r="16" spans="1:9" x14ac:dyDescent="0.25">
      <c r="A16" s="129">
        <v>2</v>
      </c>
      <c r="B16" s="37" t="s">
        <v>114</v>
      </c>
      <c r="C16" s="204"/>
      <c r="D16" s="204"/>
      <c r="E16" s="204"/>
      <c r="F16" s="36"/>
    </row>
    <row r="17" spans="1:6" x14ac:dyDescent="0.25">
      <c r="A17" s="129">
        <v>3</v>
      </c>
      <c r="B17" s="37" t="s">
        <v>115</v>
      </c>
      <c r="C17" s="212">
        <f>$D$25+$D$30</f>
        <v>1356.22</v>
      </c>
      <c r="D17" s="212"/>
      <c r="E17" s="212"/>
      <c r="F17" s="36"/>
    </row>
    <row r="18" spans="1:6" x14ac:dyDescent="0.25">
      <c r="A18" s="129">
        <v>4</v>
      </c>
      <c r="B18" s="37" t="s">
        <v>116</v>
      </c>
      <c r="C18" s="204" t="s">
        <v>214</v>
      </c>
      <c r="D18" s="204"/>
      <c r="E18" s="204"/>
      <c r="F18" s="36"/>
    </row>
    <row r="19" spans="1:6" x14ac:dyDescent="0.25">
      <c r="A19" s="129">
        <v>5</v>
      </c>
      <c r="B19" s="37" t="s">
        <v>117</v>
      </c>
      <c r="C19" s="211"/>
      <c r="D19" s="204"/>
      <c r="E19" s="204"/>
      <c r="F19" s="36"/>
    </row>
    <row r="20" spans="1:6" x14ac:dyDescent="0.25">
      <c r="A20" s="4"/>
      <c r="B20" s="4"/>
      <c r="C20" s="4"/>
      <c r="D20" s="4"/>
      <c r="E20" s="4"/>
    </row>
    <row r="22" spans="1:6" x14ac:dyDescent="0.25">
      <c r="A22" s="189" t="s">
        <v>1</v>
      </c>
      <c r="B22" s="189"/>
      <c r="C22" s="189"/>
      <c r="D22" s="189"/>
      <c r="E22" s="189"/>
    </row>
    <row r="24" spans="1:6" ht="25.5" customHeight="1" x14ac:dyDescent="0.25">
      <c r="A24" s="31">
        <v>1</v>
      </c>
      <c r="B24" s="127" t="s">
        <v>2</v>
      </c>
      <c r="C24" s="31" t="s">
        <v>24</v>
      </c>
      <c r="D24" s="31" t="s">
        <v>3</v>
      </c>
      <c r="E24" s="31" t="s">
        <v>129</v>
      </c>
    </row>
    <row r="25" spans="1:6" x14ac:dyDescent="0.25">
      <c r="A25" s="5" t="s">
        <v>4</v>
      </c>
      <c r="B25" s="125" t="s">
        <v>5</v>
      </c>
      <c r="C25" s="13"/>
      <c r="D25" s="6">
        <f>'Servente de Limpeza - Banheiro'!D25</f>
        <v>1305.9100000000001</v>
      </c>
      <c r="E25" s="22" t="s">
        <v>140</v>
      </c>
    </row>
    <row r="26" spans="1:6" x14ac:dyDescent="0.25">
      <c r="A26" s="5" t="s">
        <v>6</v>
      </c>
      <c r="B26" s="125" t="s">
        <v>7</v>
      </c>
      <c r="C26" s="13">
        <v>0</v>
      </c>
      <c r="D26" s="6">
        <f>'Servente de Limpeza - Banheiro'!D26</f>
        <v>0</v>
      </c>
      <c r="E26" s="22" t="s">
        <v>140</v>
      </c>
    </row>
    <row r="27" spans="1:6" x14ac:dyDescent="0.25">
      <c r="A27" s="5" t="s">
        <v>8</v>
      </c>
      <c r="B27" s="125" t="s">
        <v>9</v>
      </c>
      <c r="C27" s="13">
        <v>0.4</v>
      </c>
      <c r="D27" s="6">
        <f>'Servente de Limpeza - Banheiro'!D27</f>
        <v>484.8</v>
      </c>
      <c r="E27" s="22" t="s">
        <v>219</v>
      </c>
    </row>
    <row r="28" spans="1:6" x14ac:dyDescent="0.25">
      <c r="A28" s="5" t="s">
        <v>10</v>
      </c>
      <c r="B28" s="125" t="s">
        <v>11</v>
      </c>
      <c r="C28" s="13"/>
      <c r="D28" s="6">
        <f>'Servente de Limpeza - Banheiro'!D28</f>
        <v>0</v>
      </c>
      <c r="E28" s="22" t="s">
        <v>140</v>
      </c>
    </row>
    <row r="29" spans="1:6" x14ac:dyDescent="0.25">
      <c r="A29" s="5" t="s">
        <v>12</v>
      </c>
      <c r="B29" s="125" t="s">
        <v>13</v>
      </c>
      <c r="C29" s="13"/>
      <c r="D29" s="6">
        <f>'Servente de Limpeza - Banheiro'!D29</f>
        <v>0</v>
      </c>
      <c r="E29" s="22" t="s">
        <v>140</v>
      </c>
    </row>
    <row r="30" spans="1:6" x14ac:dyDescent="0.25">
      <c r="A30" s="5" t="s">
        <v>14</v>
      </c>
      <c r="B30" s="125" t="s">
        <v>105</v>
      </c>
      <c r="C30" s="13"/>
      <c r="D30" s="6">
        <f>'Servente de Limpeza - Banheiro'!D30</f>
        <v>50.31</v>
      </c>
      <c r="E30" s="22" t="s">
        <v>140</v>
      </c>
    </row>
    <row r="31" spans="1:6" x14ac:dyDescent="0.25">
      <c r="A31" s="194" t="s">
        <v>15</v>
      </c>
      <c r="B31" s="196"/>
      <c r="C31" s="10"/>
      <c r="D31" s="10">
        <f>SUM(D25:D30)</f>
        <v>1841.02</v>
      </c>
      <c r="E31" s="10"/>
    </row>
    <row r="34" spans="1:5" x14ac:dyDescent="0.25">
      <c r="A34" s="189" t="s">
        <v>16</v>
      </c>
      <c r="B34" s="189"/>
      <c r="C34" s="189"/>
      <c r="D34" s="189"/>
      <c r="E34" s="189"/>
    </row>
    <row r="35" spans="1:5" x14ac:dyDescent="0.25">
      <c r="A35" s="2"/>
    </row>
    <row r="36" spans="1:5" x14ac:dyDescent="0.25">
      <c r="A36" s="189" t="s">
        <v>17</v>
      </c>
      <c r="B36" s="189"/>
      <c r="C36" s="189"/>
      <c r="D36" s="189"/>
      <c r="E36" s="189"/>
    </row>
    <row r="38" spans="1:5" x14ac:dyDescent="0.25">
      <c r="A38" s="31" t="s">
        <v>18</v>
      </c>
      <c r="B38" s="31" t="s">
        <v>19</v>
      </c>
      <c r="C38" s="31" t="s">
        <v>24</v>
      </c>
      <c r="D38" s="31" t="s">
        <v>3</v>
      </c>
      <c r="E38" s="31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153.41833333333332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153.41833333333332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51.139444444444443</v>
      </c>
      <c r="E41" s="22" t="s">
        <v>143</v>
      </c>
    </row>
    <row r="42" spans="1:5" x14ac:dyDescent="0.25">
      <c r="A42" s="194" t="s">
        <v>15</v>
      </c>
      <c r="B42" s="196"/>
      <c r="C42" s="10"/>
      <c r="D42" s="10">
        <f>SUM(D39:D41)</f>
        <v>357.97611111111109</v>
      </c>
      <c r="E42" s="22"/>
    </row>
    <row r="43" spans="1:5" x14ac:dyDescent="0.25">
      <c r="D43" s="61"/>
    </row>
    <row r="45" spans="1:5" x14ac:dyDescent="0.25">
      <c r="A45" s="189" t="s">
        <v>21</v>
      </c>
      <c r="B45" s="189"/>
      <c r="C45" s="189"/>
      <c r="D45" s="189"/>
      <c r="E45" s="189"/>
    </row>
    <row r="47" spans="1:5" x14ac:dyDescent="0.25">
      <c r="A47" s="31" t="s">
        <v>22</v>
      </c>
      <c r="B47" s="31" t="s">
        <v>23</v>
      </c>
      <c r="C47" s="31" t="s">
        <v>24</v>
      </c>
      <c r="D47" s="31" t="s">
        <v>3</v>
      </c>
      <c r="E47" s="31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439.79922222222223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54.974902777777778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3">
        <v>0.06</v>
      </c>
      <c r="D50" s="6">
        <f t="shared" si="0"/>
        <v>131.93976666666666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32.984941666666664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21.989961111111111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13.193976666666666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4.3979922222222223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175.91968888888889</v>
      </c>
      <c r="E55" s="7" t="s">
        <v>149</v>
      </c>
    </row>
    <row r="56" spans="1:5" x14ac:dyDescent="0.25">
      <c r="A56" s="194" t="s">
        <v>34</v>
      </c>
      <c r="B56" s="196"/>
      <c r="C56" s="42">
        <f>SUM(C48:C55)</f>
        <v>0.39800000000000008</v>
      </c>
      <c r="D56" s="10">
        <f>SUM(D48:D55)</f>
        <v>875.20045222222234</v>
      </c>
      <c r="E56" s="22"/>
    </row>
    <row r="59" spans="1:5" x14ac:dyDescent="0.25">
      <c r="A59" s="189" t="s">
        <v>35</v>
      </c>
      <c r="B59" s="189"/>
      <c r="C59" s="189"/>
      <c r="D59" s="189"/>
      <c r="E59" s="189"/>
    </row>
    <row r="61" spans="1:5" x14ac:dyDescent="0.25">
      <c r="A61" s="31" t="s">
        <v>36</v>
      </c>
      <c r="B61" s="194" t="s">
        <v>37</v>
      </c>
      <c r="C61" s="196"/>
      <c r="D61" s="31" t="s">
        <v>3</v>
      </c>
      <c r="E61" s="31" t="s">
        <v>129</v>
      </c>
    </row>
    <row r="62" spans="1:5" ht="64.5" x14ac:dyDescent="0.25">
      <c r="A62" s="5" t="s">
        <v>4</v>
      </c>
      <c r="B62" s="197" t="s">
        <v>120</v>
      </c>
      <c r="C62" s="198"/>
      <c r="D62" s="6">
        <f>IF(VLOOKUP(B62,Beneficios!$A$1:$F$8,1,FALSE)='Servente de Limpeza - Diária'!B62,VLOOKUP(B62,Beneficios!$A$1:$F$8,6,FALSE))-$D$25*Beneficios!$E$2</f>
        <v>179.04540000000003</v>
      </c>
      <c r="E62" s="44" t="s">
        <v>139</v>
      </c>
    </row>
    <row r="63" spans="1:5" x14ac:dyDescent="0.25">
      <c r="A63" s="5" t="s">
        <v>6</v>
      </c>
      <c r="B63" s="197" t="s">
        <v>38</v>
      </c>
      <c r="C63" s="198">
        <f>22*16-(22*16)*20%</f>
        <v>281.60000000000002</v>
      </c>
      <c r="D63" s="6">
        <f>IF(VLOOKUP(B63,Beneficios!$A$1:$F$8,1,FALSE)='Servente de Limpeza - Diária'!B63,VLOOKUP(B63,Beneficios!$A$1:$F$8,6,FALSE))</f>
        <v>326.12800000000004</v>
      </c>
      <c r="E63" s="22" t="s">
        <v>220</v>
      </c>
    </row>
    <row r="64" spans="1:5" x14ac:dyDescent="0.25">
      <c r="A64" s="5" t="s">
        <v>8</v>
      </c>
      <c r="B64" s="197" t="s">
        <v>106</v>
      </c>
      <c r="C64" s="198">
        <f>120</f>
        <v>120</v>
      </c>
      <c r="D64" s="6">
        <f>IF(VLOOKUP(B64,Beneficios!$A$1:$F$8,1,FALSE)='Servente de Limpeza - Diária'!B64,VLOOKUP(B64,Beneficios!$A$1:$F$8,6,FALSE))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197" t="s">
        <v>215</v>
      </c>
      <c r="C65" s="198"/>
      <c r="D65" s="6">
        <v>49</v>
      </c>
      <c r="E65" s="22" t="s">
        <v>140</v>
      </c>
    </row>
    <row r="66" spans="1:5" x14ac:dyDescent="0.25">
      <c r="A66" s="5" t="s">
        <v>12</v>
      </c>
      <c r="B66" s="197"/>
      <c r="C66" s="198"/>
      <c r="D66" s="6"/>
      <c r="E66" s="22"/>
    </row>
    <row r="67" spans="1:5" x14ac:dyDescent="0.25">
      <c r="A67" s="5" t="s">
        <v>29</v>
      </c>
      <c r="B67" s="197"/>
      <c r="C67" s="198"/>
      <c r="D67" s="6"/>
      <c r="E67" s="22"/>
    </row>
    <row r="68" spans="1:5" x14ac:dyDescent="0.25">
      <c r="A68" s="5" t="s">
        <v>14</v>
      </c>
      <c r="B68" s="197"/>
      <c r="C68" s="198"/>
      <c r="D68" s="6"/>
      <c r="E68" s="22"/>
    </row>
    <row r="69" spans="1:5" x14ac:dyDescent="0.25">
      <c r="A69" s="194" t="s">
        <v>15</v>
      </c>
      <c r="B69" s="195"/>
      <c r="C69" s="196"/>
      <c r="D69" s="10">
        <f>SUM(D62:D68)</f>
        <v>684.97340000000008</v>
      </c>
      <c r="E69" s="22"/>
    </row>
    <row r="72" spans="1:5" x14ac:dyDescent="0.25">
      <c r="A72" s="189" t="s">
        <v>39</v>
      </c>
      <c r="B72" s="189"/>
      <c r="C72" s="189"/>
      <c r="D72" s="189"/>
      <c r="E72" s="189"/>
    </row>
    <row r="74" spans="1:5" x14ac:dyDescent="0.25">
      <c r="A74" s="31">
        <v>2</v>
      </c>
      <c r="B74" s="127" t="s">
        <v>40</v>
      </c>
      <c r="C74" s="128"/>
      <c r="D74" s="31" t="s">
        <v>3</v>
      </c>
      <c r="E74" s="31" t="s">
        <v>90</v>
      </c>
    </row>
    <row r="75" spans="1:5" x14ac:dyDescent="0.25">
      <c r="A75" s="5" t="s">
        <v>18</v>
      </c>
      <c r="B75" s="125" t="s">
        <v>19</v>
      </c>
      <c r="C75" s="126"/>
      <c r="D75" s="6">
        <f>D42</f>
        <v>357.97611111111109</v>
      </c>
      <c r="E75" s="22"/>
    </row>
    <row r="76" spans="1:5" x14ac:dyDescent="0.25">
      <c r="A76" s="5" t="s">
        <v>22</v>
      </c>
      <c r="B76" s="125" t="s">
        <v>23</v>
      </c>
      <c r="C76" s="126"/>
      <c r="D76" s="6">
        <f>D56</f>
        <v>875.20045222222234</v>
      </c>
      <c r="E76" s="22"/>
    </row>
    <row r="77" spans="1:5" x14ac:dyDescent="0.25">
      <c r="A77" s="5" t="s">
        <v>36</v>
      </c>
      <c r="B77" s="125" t="s">
        <v>37</v>
      </c>
      <c r="C77" s="126"/>
      <c r="D77" s="6">
        <f>D69</f>
        <v>684.97340000000008</v>
      </c>
      <c r="E77" s="22"/>
    </row>
    <row r="78" spans="1:5" x14ac:dyDescent="0.25">
      <c r="A78" s="194" t="s">
        <v>15</v>
      </c>
      <c r="B78" s="195"/>
      <c r="C78" s="196"/>
      <c r="D78" s="10">
        <f>SUM(D75:D77)</f>
        <v>1918.1499633333335</v>
      </c>
      <c r="E78" s="22"/>
    </row>
    <row r="79" spans="1:5" x14ac:dyDescent="0.25">
      <c r="A79" s="3"/>
    </row>
    <row r="81" spans="1:5" x14ac:dyDescent="0.25">
      <c r="A81" s="189" t="s">
        <v>41</v>
      </c>
      <c r="B81" s="189"/>
      <c r="C81" s="189"/>
      <c r="D81" s="189"/>
      <c r="E81" s="189"/>
    </row>
    <row r="83" spans="1:5" x14ac:dyDescent="0.25">
      <c r="A83" s="31">
        <v>3</v>
      </c>
      <c r="B83" s="31" t="s">
        <v>42</v>
      </c>
      <c r="C83" s="31" t="s">
        <v>24</v>
      </c>
      <c r="D83" s="31" t="s">
        <v>3</v>
      </c>
      <c r="E83" s="31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9.1624837962962964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0.73299870370370368</v>
      </c>
      <c r="E85" s="44" t="s">
        <v>151</v>
      </c>
    </row>
    <row r="86" spans="1:5" ht="25.5" x14ac:dyDescent="0.25">
      <c r="A86" s="5" t="s">
        <v>8</v>
      </c>
      <c r="B86" s="9" t="s">
        <v>119</v>
      </c>
      <c r="C86" s="34">
        <v>0.04</v>
      </c>
      <c r="D86" s="6">
        <f t="shared" si="1"/>
        <v>87.959844444444443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42.758257716049386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17.017786570987656</v>
      </c>
      <c r="E88" s="44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4"/>
    </row>
    <row r="90" spans="1:5" x14ac:dyDescent="0.25">
      <c r="A90" s="31" t="s">
        <v>15</v>
      </c>
      <c r="B90" s="31"/>
      <c r="C90" s="10"/>
      <c r="D90" s="10">
        <f>SUM(D84:D89)</f>
        <v>157.63137123148147</v>
      </c>
      <c r="E90" s="44"/>
    </row>
    <row r="93" spans="1:5" x14ac:dyDescent="0.25">
      <c r="A93" s="189" t="s">
        <v>47</v>
      </c>
      <c r="B93" s="189"/>
      <c r="C93" s="189"/>
      <c r="D93" s="189"/>
      <c r="E93" s="189"/>
    </row>
    <row r="95" spans="1:5" x14ac:dyDescent="0.25">
      <c r="A95" s="189" t="s">
        <v>48</v>
      </c>
      <c r="B95" s="189"/>
      <c r="C95" s="189"/>
      <c r="D95" s="189"/>
      <c r="E95" s="189"/>
    </row>
    <row r="96" spans="1:5" x14ac:dyDescent="0.25">
      <c r="A96" s="2"/>
    </row>
    <row r="97" spans="1:5" x14ac:dyDescent="0.25">
      <c r="A97" s="31" t="s">
        <v>49</v>
      </c>
      <c r="B97" s="31" t="s">
        <v>50</v>
      </c>
      <c r="C97" s="31" t="s">
        <v>24</v>
      </c>
      <c r="D97" s="31" t="s">
        <v>3</v>
      </c>
      <c r="E97" s="31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16.262341541038968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0.77030426246441353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1.3682058219816082</v>
      </c>
      <c r="E101" s="54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3.5939315669539678</v>
      </c>
      <c r="E102" s="44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8.7112463790692285</v>
      </c>
      <c r="E103" s="44"/>
    </row>
    <row r="104" spans="1:5" x14ac:dyDescent="0.25">
      <c r="A104" s="194" t="s">
        <v>34</v>
      </c>
      <c r="B104" s="195"/>
      <c r="C104" s="196"/>
      <c r="D104" s="10">
        <f>SUM(D98:D103)</f>
        <v>30.706029571508189</v>
      </c>
      <c r="E104" s="22"/>
    </row>
    <row r="107" spans="1:5" x14ac:dyDescent="0.25">
      <c r="A107" s="208" t="s">
        <v>55</v>
      </c>
      <c r="B107" s="208"/>
      <c r="C107" s="208"/>
      <c r="D107" s="208"/>
      <c r="E107" s="208"/>
    </row>
    <row r="108" spans="1:5" x14ac:dyDescent="0.25">
      <c r="A108" s="2"/>
    </row>
    <row r="109" spans="1:5" x14ac:dyDescent="0.25">
      <c r="A109" s="31" t="s">
        <v>56</v>
      </c>
      <c r="B109" s="194" t="s">
        <v>57</v>
      </c>
      <c r="C109" s="196"/>
      <c r="D109" s="31" t="s">
        <v>3</v>
      </c>
      <c r="E109" s="31" t="s">
        <v>129</v>
      </c>
    </row>
    <row r="110" spans="1:5" x14ac:dyDescent="0.25">
      <c r="A110" s="5" t="s">
        <v>4</v>
      </c>
      <c r="B110" s="197" t="s">
        <v>58</v>
      </c>
      <c r="C110" s="198"/>
      <c r="D110" s="6"/>
      <c r="E110" s="22"/>
    </row>
    <row r="111" spans="1:5" x14ac:dyDescent="0.25">
      <c r="A111" s="194" t="s">
        <v>15</v>
      </c>
      <c r="B111" s="195"/>
      <c r="C111" s="196"/>
      <c r="D111" s="6">
        <f>D110</f>
        <v>0</v>
      </c>
      <c r="E111" s="22"/>
    </row>
    <row r="114" spans="1:5" x14ac:dyDescent="0.25">
      <c r="A114" s="189" t="s">
        <v>59</v>
      </c>
      <c r="B114" s="189"/>
      <c r="C114" s="189"/>
      <c r="D114" s="189"/>
      <c r="E114" s="189"/>
    </row>
    <row r="115" spans="1:5" x14ac:dyDescent="0.25">
      <c r="A115" s="2"/>
    </row>
    <row r="116" spans="1:5" x14ac:dyDescent="0.25">
      <c r="A116" s="31">
        <v>4</v>
      </c>
      <c r="B116" s="127" t="s">
        <v>60</v>
      </c>
      <c r="C116" s="128"/>
      <c r="D116" s="31" t="s">
        <v>3</v>
      </c>
      <c r="E116" s="31" t="s">
        <v>90</v>
      </c>
    </row>
    <row r="117" spans="1:5" x14ac:dyDescent="0.25">
      <c r="A117" s="5" t="s">
        <v>49</v>
      </c>
      <c r="B117" s="125" t="s">
        <v>50</v>
      </c>
      <c r="C117" s="126"/>
      <c r="D117" s="6">
        <f>D104</f>
        <v>30.706029571508189</v>
      </c>
      <c r="E117" s="22"/>
    </row>
    <row r="118" spans="1:5" x14ac:dyDescent="0.25">
      <c r="A118" s="5" t="s">
        <v>56</v>
      </c>
      <c r="B118" s="125" t="s">
        <v>57</v>
      </c>
      <c r="C118" s="126"/>
      <c r="D118" s="6">
        <f>D111</f>
        <v>0</v>
      </c>
      <c r="E118" s="22"/>
    </row>
    <row r="119" spans="1:5" x14ac:dyDescent="0.25">
      <c r="A119" s="194" t="s">
        <v>15</v>
      </c>
      <c r="B119" s="195"/>
      <c r="C119" s="196"/>
      <c r="D119" s="10">
        <f>SUM(D117:D118)</f>
        <v>30.706029571508189</v>
      </c>
      <c r="E119" s="22"/>
    </row>
    <row r="122" spans="1:5" x14ac:dyDescent="0.25">
      <c r="A122" s="189" t="s">
        <v>61</v>
      </c>
      <c r="B122" s="189"/>
      <c r="C122" s="189"/>
      <c r="D122" s="189"/>
      <c r="E122" s="189"/>
    </row>
    <row r="124" spans="1:5" x14ac:dyDescent="0.25">
      <c r="A124" s="31">
        <v>5</v>
      </c>
      <c r="B124" s="127" t="s">
        <v>62</v>
      </c>
      <c r="C124" s="128"/>
      <c r="D124" s="31" t="s">
        <v>3</v>
      </c>
      <c r="E124" s="31" t="s">
        <v>90</v>
      </c>
    </row>
    <row r="125" spans="1:5" x14ac:dyDescent="0.25">
      <c r="A125" s="5" t="s">
        <v>4</v>
      </c>
      <c r="B125" s="125" t="s">
        <v>63</v>
      </c>
      <c r="C125" s="126"/>
      <c r="D125" s="6">
        <f>SUMIFS(Uniformes!F:F,Uniformes!G:G,"Serviço de Limpeza")</f>
        <v>0</v>
      </c>
      <c r="E125" s="44" t="s">
        <v>190</v>
      </c>
    </row>
    <row r="126" spans="1:5" x14ac:dyDescent="0.25">
      <c r="A126" s="5" t="s">
        <v>6</v>
      </c>
      <c r="B126" s="125" t="s">
        <v>64</v>
      </c>
      <c r="C126" s="126"/>
      <c r="D126" s="6">
        <f>IFERROR(SUM(Materiais!H:H)/SUM(Resumo!$H$5:$H$10),0)</f>
        <v>26.580000000000002</v>
      </c>
      <c r="E126" s="44" t="s">
        <v>190</v>
      </c>
    </row>
    <row r="127" spans="1:5" x14ac:dyDescent="0.25">
      <c r="A127" s="5" t="s">
        <v>8</v>
      </c>
      <c r="B127" s="125" t="s">
        <v>65</v>
      </c>
      <c r="C127" s="126"/>
      <c r="D127" s="6">
        <f>IFERROR(SUMIFS(Equipamentos!J:J,Equipamentos!K:K,"Todos")/SUM(Resumo!H5:H9),0)</f>
        <v>0</v>
      </c>
      <c r="E127" s="44" t="s">
        <v>194</v>
      </c>
    </row>
    <row r="128" spans="1:5" x14ac:dyDescent="0.25">
      <c r="A128" s="5" t="s">
        <v>10</v>
      </c>
      <c r="B128" s="125" t="s">
        <v>155</v>
      </c>
      <c r="C128" s="126"/>
      <c r="D128" s="6">
        <f>SUMIFS(EPIs!G:G,EPIs!H:H,"Serviço de Limpeza")</f>
        <v>0</v>
      </c>
      <c r="E128" s="22"/>
    </row>
    <row r="129" spans="1:5" x14ac:dyDescent="0.25">
      <c r="A129" s="5" t="s">
        <v>12</v>
      </c>
      <c r="B129" s="125"/>
      <c r="C129" s="126"/>
      <c r="D129" s="6"/>
      <c r="E129" s="65"/>
    </row>
    <row r="130" spans="1:5" x14ac:dyDescent="0.25">
      <c r="A130" s="194" t="s">
        <v>34</v>
      </c>
      <c r="B130" s="195"/>
      <c r="C130" s="196"/>
      <c r="D130" s="10">
        <f>SUM(D125:D129)</f>
        <v>26.580000000000002</v>
      </c>
      <c r="E130" s="22"/>
    </row>
    <row r="133" spans="1:5" x14ac:dyDescent="0.25">
      <c r="A133" s="189" t="s">
        <v>66</v>
      </c>
      <c r="B133" s="189"/>
      <c r="C133" s="189"/>
      <c r="D133" s="189"/>
      <c r="E133" s="189"/>
    </row>
    <row r="135" spans="1:5" x14ac:dyDescent="0.25">
      <c r="A135" s="31">
        <v>6</v>
      </c>
      <c r="B135" s="11" t="s">
        <v>67</v>
      </c>
      <c r="C135" s="31" t="s">
        <v>24</v>
      </c>
      <c r="D135" s="31" t="s">
        <v>3</v>
      </c>
      <c r="E135" s="31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198.70436820681618</v>
      </c>
      <c r="E136" s="44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417.27917323431393</v>
      </c>
      <c r="E137" s="44"/>
    </row>
    <row r="138" spans="1:5" x14ac:dyDescent="0.25">
      <c r="A138" s="5" t="s">
        <v>8</v>
      </c>
      <c r="B138" s="7" t="s">
        <v>118</v>
      </c>
      <c r="C138" s="13">
        <f>C140+C141+C144</f>
        <v>9.2499999999999999E-2</v>
      </c>
      <c r="D138" s="6">
        <f>SUM(D139:D144)</f>
        <v>467.85846695968536</v>
      </c>
      <c r="E138" s="44"/>
    </row>
    <row r="139" spans="1:5" ht="15.75" hidden="1" customHeight="1" x14ac:dyDescent="0.25">
      <c r="A139" s="5"/>
      <c r="B139" s="7" t="s">
        <v>70</v>
      </c>
      <c r="C139" s="12"/>
      <c r="D139" s="6"/>
      <c r="E139" s="44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83.455834646862797</v>
      </c>
      <c r="E140" s="44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384.40263231282256</v>
      </c>
      <c r="E141" s="44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4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4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Real",$G$4)))</f>
        <v>0</v>
      </c>
      <c r="D144" s="6">
        <f>(($D$31+$D$78+$D$90+$D$119+$D$130+$D$136+$D$137)/(1-$C$138))*C144</f>
        <v>0</v>
      </c>
      <c r="E144" s="44"/>
    </row>
    <row r="145" spans="1:6" x14ac:dyDescent="0.25">
      <c r="A145" s="31" t="s">
        <v>34</v>
      </c>
      <c r="B145" s="31"/>
      <c r="C145" s="10"/>
      <c r="D145" s="10">
        <f>D136+D137+D138</f>
        <v>1083.8420084008155</v>
      </c>
      <c r="E145" s="22"/>
    </row>
    <row r="148" spans="1:6" x14ac:dyDescent="0.25">
      <c r="A148" s="189" t="s">
        <v>73</v>
      </c>
      <c r="B148" s="189"/>
      <c r="C148" s="189"/>
      <c r="D148" s="189"/>
      <c r="E148" s="189"/>
    </row>
    <row r="150" spans="1:6" x14ac:dyDescent="0.25">
      <c r="A150" s="31"/>
      <c r="B150" s="127" t="s">
        <v>74</v>
      </c>
      <c r="C150" s="128"/>
      <c r="D150" s="31" t="s">
        <v>3</v>
      </c>
      <c r="E150" s="31" t="s">
        <v>90</v>
      </c>
    </row>
    <row r="151" spans="1:6" x14ac:dyDescent="0.25">
      <c r="A151" s="5" t="s">
        <v>4</v>
      </c>
      <c r="B151" s="125" t="s">
        <v>1</v>
      </c>
      <c r="C151" s="126"/>
      <c r="D151" s="6">
        <f>D31</f>
        <v>1841.02</v>
      </c>
      <c r="E151" s="22"/>
    </row>
    <row r="152" spans="1:6" x14ac:dyDescent="0.25">
      <c r="A152" s="5" t="s">
        <v>6</v>
      </c>
      <c r="B152" s="125" t="s">
        <v>16</v>
      </c>
      <c r="C152" s="126"/>
      <c r="D152" s="6">
        <f>D78</f>
        <v>1918.1499633333335</v>
      </c>
      <c r="E152" s="22"/>
    </row>
    <row r="153" spans="1:6" x14ac:dyDescent="0.25">
      <c r="A153" s="5" t="s">
        <v>8</v>
      </c>
      <c r="B153" s="125" t="s">
        <v>41</v>
      </c>
      <c r="C153" s="126"/>
      <c r="D153" s="6">
        <f>D90</f>
        <v>157.63137123148147</v>
      </c>
      <c r="E153" s="22"/>
    </row>
    <row r="154" spans="1:6" x14ac:dyDescent="0.25">
      <c r="A154" s="5" t="s">
        <v>10</v>
      </c>
      <c r="B154" s="125" t="s">
        <v>47</v>
      </c>
      <c r="C154" s="40"/>
      <c r="D154" s="6">
        <f>D119</f>
        <v>30.706029571508189</v>
      </c>
      <c r="E154" s="22"/>
    </row>
    <row r="155" spans="1:6" x14ac:dyDescent="0.25">
      <c r="A155" s="5" t="s">
        <v>12</v>
      </c>
      <c r="B155" s="125" t="s">
        <v>61</v>
      </c>
      <c r="C155" s="40"/>
      <c r="D155" s="6">
        <f>D130</f>
        <v>26.580000000000002</v>
      </c>
      <c r="E155" s="22"/>
    </row>
    <row r="156" spans="1:6" ht="15.75" customHeight="1" x14ac:dyDescent="0.25">
      <c r="A156" s="194" t="s">
        <v>75</v>
      </c>
      <c r="B156" s="195"/>
      <c r="C156" s="196"/>
      <c r="D156" s="10">
        <f>SUM(D151:D155)</f>
        <v>3974.0873641363232</v>
      </c>
      <c r="E156" s="22"/>
    </row>
    <row r="157" spans="1:6" x14ac:dyDescent="0.25">
      <c r="A157" s="23" t="s">
        <v>29</v>
      </c>
      <c r="B157" s="125" t="s">
        <v>76</v>
      </c>
      <c r="C157" s="40"/>
      <c r="D157" s="6">
        <f>D145</f>
        <v>1083.8420084008155</v>
      </c>
      <c r="E157" s="22"/>
    </row>
    <row r="158" spans="1:6" ht="15.75" customHeight="1" x14ac:dyDescent="0.25">
      <c r="A158" s="194" t="s">
        <v>77</v>
      </c>
      <c r="B158" s="195"/>
      <c r="C158" s="196"/>
      <c r="D158" s="10">
        <f>D156+D157</f>
        <v>5057.929372537139</v>
      </c>
      <c r="E158" s="22"/>
      <c r="F158" s="61"/>
    </row>
    <row r="159" spans="1:6" ht="15.75" customHeight="1" x14ac:dyDescent="0.25">
      <c r="A159" s="194" t="s">
        <v>241</v>
      </c>
      <c r="B159" s="195"/>
      <c r="C159" s="196"/>
      <c r="D159" s="10">
        <f>D158/22</f>
        <v>229.90588056986996</v>
      </c>
      <c r="E159" s="22" t="s">
        <v>242</v>
      </c>
    </row>
    <row r="160" spans="1:6" ht="15.75" customHeight="1" x14ac:dyDescent="0.25">
      <c r="A160" s="194" t="s">
        <v>84</v>
      </c>
      <c r="B160" s="195"/>
      <c r="C160" s="196"/>
      <c r="D160" s="10">
        <f>D159*24</f>
        <v>5517.7411336768791</v>
      </c>
      <c r="E160" s="22"/>
    </row>
  </sheetData>
  <mergeCells count="54">
    <mergeCell ref="A9:D9"/>
    <mergeCell ref="A1:E1"/>
    <mergeCell ref="C5:D5"/>
    <mergeCell ref="C6:D6"/>
    <mergeCell ref="C7:D7"/>
    <mergeCell ref="C8:D8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A160:C160"/>
    <mergeCell ref="B110:C110"/>
    <mergeCell ref="A111:C111"/>
    <mergeCell ref="A114:E114"/>
    <mergeCell ref="A119:C119"/>
    <mergeCell ref="A122:E122"/>
    <mergeCell ref="A130:C130"/>
    <mergeCell ref="A133:E133"/>
    <mergeCell ref="A148:E148"/>
    <mergeCell ref="A156:C156"/>
    <mergeCell ref="A158:C158"/>
    <mergeCell ref="A159:C159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3" max="6" man="1"/>
    <brk id="58" max="6" man="1"/>
    <brk id="91" max="6" man="1"/>
    <brk id="120" max="6" man="1"/>
    <brk id="147" max="6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showGridLines="0" topLeftCell="C1" zoomScaleNormal="100" workbookViewId="0">
      <selection activeCell="I9" sqref="I9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9" x14ac:dyDescent="0.25">
      <c r="A1" s="189" t="s">
        <v>0</v>
      </c>
      <c r="B1" s="189"/>
      <c r="C1" s="189"/>
      <c r="D1" s="189"/>
      <c r="E1" s="189"/>
      <c r="I1" s="45"/>
    </row>
    <row r="2" spans="1:9" x14ac:dyDescent="0.25">
      <c r="A2" s="60" t="s">
        <v>107</v>
      </c>
      <c r="B2" s="60"/>
      <c r="G2" s="88"/>
      <c r="H2" s="15"/>
    </row>
    <row r="3" spans="1:9" x14ac:dyDescent="0.25">
      <c r="A3" s="22" t="s">
        <v>108</v>
      </c>
      <c r="B3" s="22"/>
      <c r="G3" s="87"/>
      <c r="H3" s="15"/>
    </row>
    <row r="4" spans="1:9" x14ac:dyDescent="0.25">
      <c r="A4" s="14"/>
      <c r="B4" s="14"/>
      <c r="H4" s="15"/>
    </row>
    <row r="5" spans="1:9" x14ac:dyDescent="0.25">
      <c r="A5" s="5" t="s">
        <v>4</v>
      </c>
      <c r="B5" s="66" t="s">
        <v>109</v>
      </c>
      <c r="C5" s="206"/>
      <c r="D5" s="207"/>
      <c r="H5" s="15"/>
    </row>
    <row r="6" spans="1:9" x14ac:dyDescent="0.25">
      <c r="A6" s="5" t="s">
        <v>6</v>
      </c>
      <c r="B6" s="66" t="s">
        <v>110</v>
      </c>
      <c r="C6" s="207"/>
      <c r="D6" s="207"/>
      <c r="H6" s="15"/>
    </row>
    <row r="7" spans="1:9" ht="25.5" x14ac:dyDescent="0.25">
      <c r="A7" s="5" t="s">
        <v>8</v>
      </c>
      <c r="B7" s="66" t="s">
        <v>111</v>
      </c>
      <c r="C7" s="207"/>
      <c r="D7" s="207"/>
      <c r="H7" s="15"/>
    </row>
    <row r="8" spans="1:9" x14ac:dyDescent="0.25">
      <c r="A8" s="5" t="s">
        <v>10</v>
      </c>
      <c r="B8" s="66" t="s">
        <v>112</v>
      </c>
      <c r="C8" s="207"/>
      <c r="D8" s="207"/>
      <c r="H8" s="15"/>
    </row>
    <row r="9" spans="1:9" x14ac:dyDescent="0.25">
      <c r="A9" s="205"/>
      <c r="B9" s="205"/>
      <c r="C9" s="205"/>
      <c r="D9" s="205"/>
      <c r="E9" s="72"/>
    </row>
    <row r="10" spans="1:9" x14ac:dyDescent="0.25">
      <c r="A10" s="189" t="s">
        <v>78</v>
      </c>
      <c r="B10" s="189"/>
      <c r="C10" s="189"/>
      <c r="D10" s="189"/>
      <c r="E10" s="189"/>
    </row>
    <row r="11" spans="1:9" ht="25.5" customHeight="1" x14ac:dyDescent="0.25">
      <c r="A11" s="199" t="s">
        <v>79</v>
      </c>
      <c r="B11" s="199"/>
      <c r="C11" s="70" t="s">
        <v>80</v>
      </c>
      <c r="D11" s="86" t="s">
        <v>81</v>
      </c>
      <c r="E11" s="86" t="s">
        <v>189</v>
      </c>
    </row>
    <row r="12" spans="1:9" ht="15.75" customHeight="1" x14ac:dyDescent="0.25">
      <c r="A12" s="200" t="s">
        <v>104</v>
      </c>
      <c r="B12" s="200"/>
      <c r="C12" s="202" t="s">
        <v>82</v>
      </c>
      <c r="D12" s="202"/>
      <c r="E12" s="202"/>
    </row>
    <row r="13" spans="1:9" x14ac:dyDescent="0.25">
      <c r="A13" s="201"/>
      <c r="B13" s="201"/>
      <c r="C13" s="203"/>
      <c r="D13" s="203"/>
      <c r="E13" s="203"/>
    </row>
    <row r="14" spans="1:9" x14ac:dyDescent="0.25">
      <c r="A14" s="4"/>
      <c r="B14" s="4"/>
      <c r="C14" s="4"/>
      <c r="D14" s="4"/>
      <c r="E14" s="4"/>
    </row>
    <row r="15" spans="1:9" x14ac:dyDescent="0.25">
      <c r="A15" s="71">
        <v>1</v>
      </c>
      <c r="B15" s="37" t="s">
        <v>113</v>
      </c>
      <c r="C15" s="204" t="s">
        <v>104</v>
      </c>
      <c r="D15" s="204"/>
      <c r="E15" s="204"/>
      <c r="F15" s="36"/>
    </row>
    <row r="16" spans="1:9" x14ac:dyDescent="0.25">
      <c r="A16" s="71">
        <v>2</v>
      </c>
      <c r="B16" s="37" t="s">
        <v>114</v>
      </c>
      <c r="C16" s="204"/>
      <c r="D16" s="204"/>
      <c r="E16" s="204"/>
      <c r="F16" s="36"/>
    </row>
    <row r="17" spans="1:6" x14ac:dyDescent="0.25">
      <c r="A17" s="71">
        <v>3</v>
      </c>
      <c r="B17" s="37" t="s">
        <v>115</v>
      </c>
      <c r="C17" s="212">
        <f>$D$25+$D$29</f>
        <v>0</v>
      </c>
      <c r="D17" s="212"/>
      <c r="E17" s="212"/>
      <c r="F17" s="36"/>
    </row>
    <row r="18" spans="1:6" x14ac:dyDescent="0.25">
      <c r="A18" s="71">
        <v>4</v>
      </c>
      <c r="B18" s="37" t="s">
        <v>116</v>
      </c>
      <c r="C18" s="204" t="s">
        <v>185</v>
      </c>
      <c r="D18" s="204"/>
      <c r="E18" s="204"/>
      <c r="F18" s="36"/>
    </row>
    <row r="19" spans="1:6" x14ac:dyDescent="0.25">
      <c r="A19" s="71">
        <v>5</v>
      </c>
      <c r="B19" s="37" t="s">
        <v>117</v>
      </c>
      <c r="C19" s="211"/>
      <c r="D19" s="204"/>
      <c r="E19" s="204"/>
      <c r="F19" s="36"/>
    </row>
    <row r="20" spans="1:6" x14ac:dyDescent="0.25">
      <c r="A20" s="4"/>
      <c r="B20" s="4"/>
      <c r="C20" s="4"/>
      <c r="D20" s="4"/>
      <c r="E20" s="4"/>
    </row>
    <row r="22" spans="1:6" x14ac:dyDescent="0.25">
      <c r="A22" s="189" t="s">
        <v>1</v>
      </c>
      <c r="B22" s="189"/>
      <c r="C22" s="189"/>
      <c r="D22" s="189"/>
      <c r="E22" s="189"/>
    </row>
    <row r="24" spans="1:6" ht="25.5" customHeight="1" x14ac:dyDescent="0.25">
      <c r="A24" s="31">
        <v>1</v>
      </c>
      <c r="B24" s="68" t="s">
        <v>2</v>
      </c>
      <c r="C24" s="31" t="s">
        <v>24</v>
      </c>
      <c r="D24" s="31" t="s">
        <v>3</v>
      </c>
      <c r="E24" s="31" t="s">
        <v>129</v>
      </c>
    </row>
    <row r="25" spans="1:6" x14ac:dyDescent="0.25">
      <c r="A25" s="5" t="s">
        <v>4</v>
      </c>
      <c r="B25" s="66" t="s">
        <v>5</v>
      </c>
      <c r="C25" s="13"/>
      <c r="D25" s="6">
        <v>0</v>
      </c>
      <c r="E25" s="22" t="s">
        <v>140</v>
      </c>
    </row>
    <row r="26" spans="1:6" x14ac:dyDescent="0.25">
      <c r="A26" s="5" t="s">
        <v>6</v>
      </c>
      <c r="B26" s="66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66" t="s">
        <v>9</v>
      </c>
      <c r="C27" s="13">
        <v>0</v>
      </c>
      <c r="D27" s="6">
        <f>C27*Informações!$B$3</f>
        <v>0</v>
      </c>
      <c r="E27" s="22" t="s">
        <v>140</v>
      </c>
    </row>
    <row r="28" spans="1:6" x14ac:dyDescent="0.25">
      <c r="A28" s="5" t="s">
        <v>10</v>
      </c>
      <c r="B28" s="66" t="s">
        <v>11</v>
      </c>
      <c r="C28" s="13"/>
      <c r="D28" s="6">
        <v>0</v>
      </c>
      <c r="E28" s="22" t="s">
        <v>140</v>
      </c>
    </row>
    <row r="29" spans="1:6" x14ac:dyDescent="0.25">
      <c r="A29" s="5" t="s">
        <v>12</v>
      </c>
      <c r="B29" s="85" t="s">
        <v>105</v>
      </c>
      <c r="C29" s="13"/>
      <c r="D29" s="6">
        <v>0</v>
      </c>
      <c r="E29" s="22" t="s">
        <v>140</v>
      </c>
    </row>
    <row r="30" spans="1:6" x14ac:dyDescent="0.25">
      <c r="A30" s="5" t="s">
        <v>14</v>
      </c>
      <c r="B30" s="66" t="s">
        <v>191</v>
      </c>
      <c r="C30" s="13"/>
      <c r="D30" s="6">
        <v>0</v>
      </c>
      <c r="E30" s="22" t="s">
        <v>140</v>
      </c>
    </row>
    <row r="31" spans="1:6" x14ac:dyDescent="0.25">
      <c r="A31" s="194" t="s">
        <v>15</v>
      </c>
      <c r="B31" s="196"/>
      <c r="C31" s="10"/>
      <c r="D31" s="10">
        <f>SUM(D25:D30)</f>
        <v>0</v>
      </c>
      <c r="E31" s="10"/>
    </row>
    <row r="34" spans="1:5" x14ac:dyDescent="0.25">
      <c r="A34" s="189" t="s">
        <v>16</v>
      </c>
      <c r="B34" s="189"/>
      <c r="C34" s="189"/>
      <c r="D34" s="189"/>
      <c r="E34" s="189"/>
    </row>
    <row r="35" spans="1:5" x14ac:dyDescent="0.25">
      <c r="A35" s="2"/>
    </row>
    <row r="36" spans="1:5" x14ac:dyDescent="0.25">
      <c r="A36" s="189" t="s">
        <v>17</v>
      </c>
      <c r="B36" s="189"/>
      <c r="C36" s="189"/>
      <c r="D36" s="189"/>
      <c r="E36" s="189"/>
    </row>
    <row r="38" spans="1:5" x14ac:dyDescent="0.25">
      <c r="A38" s="31" t="s">
        <v>18</v>
      </c>
      <c r="B38" s="31" t="s">
        <v>19</v>
      </c>
      <c r="C38" s="31" t="s">
        <v>24</v>
      </c>
      <c r="D38" s="31" t="s">
        <v>3</v>
      </c>
      <c r="E38" s="31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0</v>
      </c>
      <c r="E39" s="65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0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0</v>
      </c>
      <c r="E41" s="22" t="s">
        <v>143</v>
      </c>
    </row>
    <row r="42" spans="1:5" x14ac:dyDescent="0.25">
      <c r="A42" s="194" t="s">
        <v>15</v>
      </c>
      <c r="B42" s="196"/>
      <c r="C42" s="10"/>
      <c r="D42" s="10">
        <f>SUM(D39:D41)</f>
        <v>0</v>
      </c>
      <c r="E42" s="22"/>
    </row>
    <row r="43" spans="1:5" x14ac:dyDescent="0.25">
      <c r="D43" s="61"/>
    </row>
    <row r="45" spans="1:5" x14ac:dyDescent="0.25">
      <c r="A45" s="189" t="s">
        <v>21</v>
      </c>
      <c r="B45" s="189"/>
      <c r="C45" s="189"/>
      <c r="D45" s="189"/>
      <c r="E45" s="189"/>
    </row>
    <row r="47" spans="1:5" x14ac:dyDescent="0.25">
      <c r="A47" s="31" t="s">
        <v>22</v>
      </c>
      <c r="B47" s="31" t="s">
        <v>23</v>
      </c>
      <c r="C47" s="31" t="s">
        <v>24</v>
      </c>
      <c r="D47" s="31" t="s">
        <v>3</v>
      </c>
      <c r="E47" s="31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0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0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3">
        <v>0.06</v>
      </c>
      <c r="D50" s="6">
        <f t="shared" si="0"/>
        <v>0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0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0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0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0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0</v>
      </c>
      <c r="E55" s="7" t="s">
        <v>149</v>
      </c>
    </row>
    <row r="56" spans="1:5" x14ac:dyDescent="0.25">
      <c r="A56" s="194" t="s">
        <v>34</v>
      </c>
      <c r="B56" s="196"/>
      <c r="C56" s="42">
        <f>SUM(C48:C55)</f>
        <v>0.39800000000000008</v>
      </c>
      <c r="D56" s="10">
        <f>SUM(D48:D55)</f>
        <v>0</v>
      </c>
      <c r="E56" s="22"/>
    </row>
    <row r="59" spans="1:5" x14ac:dyDescent="0.25">
      <c r="A59" s="189" t="s">
        <v>35</v>
      </c>
      <c r="B59" s="189"/>
      <c r="C59" s="189"/>
      <c r="D59" s="189"/>
      <c r="E59" s="189"/>
    </row>
    <row r="61" spans="1:5" x14ac:dyDescent="0.25">
      <c r="A61" s="31" t="s">
        <v>36</v>
      </c>
      <c r="B61" s="194" t="s">
        <v>37</v>
      </c>
      <c r="C61" s="196"/>
      <c r="D61" s="31" t="s">
        <v>3</v>
      </c>
      <c r="E61" s="31" t="s">
        <v>129</v>
      </c>
    </row>
    <row r="62" spans="1:5" ht="64.5" x14ac:dyDescent="0.25">
      <c r="A62" s="5" t="s">
        <v>4</v>
      </c>
      <c r="B62" s="197" t="s">
        <v>120</v>
      </c>
      <c r="C62" s="198"/>
      <c r="D62" s="6">
        <f>IF(VLOOKUP(B62,Beneficios!$A$1:$F$8,1,FALSE)=Líder!B62,VLOOKUP(B62,Beneficios!$A$1:$F$8,6,FALSE))-$D$25*Beneficios!$E$2</f>
        <v>257.40000000000003</v>
      </c>
      <c r="E62" s="44" t="s">
        <v>139</v>
      </c>
    </row>
    <row r="63" spans="1:5" x14ac:dyDescent="0.25">
      <c r="A63" s="5" t="s">
        <v>6</v>
      </c>
      <c r="B63" s="197" t="s">
        <v>38</v>
      </c>
      <c r="C63" s="198">
        <f>22*16-(22*16)*20%</f>
        <v>281.60000000000002</v>
      </c>
      <c r="D63" s="6">
        <f>IF(VLOOKUP(B63,Beneficios!$A$1:$F$8,1,FALSE)=Líder!B63,VLOOKUP(B63,Beneficios!$A$1:$F$8,6,FALSE))</f>
        <v>326.12800000000004</v>
      </c>
      <c r="E63" s="22" t="s">
        <v>220</v>
      </c>
    </row>
    <row r="64" spans="1:5" x14ac:dyDescent="0.25">
      <c r="A64" s="5" t="s">
        <v>8</v>
      </c>
      <c r="B64" s="197" t="s">
        <v>106</v>
      </c>
      <c r="C64" s="198">
        <f>120</f>
        <v>120</v>
      </c>
      <c r="D64" s="6">
        <f>IF(VLOOKUP(B64,Beneficios!$A$1:$F$8,1,FALSE)=Líder!B64,VLOOKUP(B64,Beneficios!$A$1:$F$8,6,FALSE))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197" t="s">
        <v>215</v>
      </c>
      <c r="C65" s="198"/>
      <c r="D65" s="6">
        <v>49</v>
      </c>
      <c r="E65" s="22" t="s">
        <v>140</v>
      </c>
    </row>
    <row r="66" spans="1:5" x14ac:dyDescent="0.25">
      <c r="A66" s="5" t="s">
        <v>12</v>
      </c>
      <c r="B66" s="197" t="s">
        <v>191</v>
      </c>
      <c r="C66" s="198"/>
      <c r="D66" s="6">
        <v>0</v>
      </c>
      <c r="E66" s="22" t="s">
        <v>140</v>
      </c>
    </row>
    <row r="67" spans="1:5" x14ac:dyDescent="0.25">
      <c r="A67" s="5" t="s">
        <v>29</v>
      </c>
      <c r="B67" s="197" t="s">
        <v>191</v>
      </c>
      <c r="C67" s="198"/>
      <c r="D67" s="6"/>
      <c r="E67" s="22" t="s">
        <v>140</v>
      </c>
    </row>
    <row r="68" spans="1:5" x14ac:dyDescent="0.25">
      <c r="A68" s="5" t="s">
        <v>14</v>
      </c>
      <c r="B68" s="197" t="s">
        <v>191</v>
      </c>
      <c r="C68" s="198"/>
      <c r="D68" s="6"/>
      <c r="E68" s="22" t="s">
        <v>140</v>
      </c>
    </row>
    <row r="69" spans="1:5" x14ac:dyDescent="0.25">
      <c r="A69" s="194" t="s">
        <v>15</v>
      </c>
      <c r="B69" s="195"/>
      <c r="C69" s="196"/>
      <c r="D69" s="10">
        <f>SUM(D62:D68)</f>
        <v>763.32799999999997</v>
      </c>
      <c r="E69" s="22"/>
    </row>
    <row r="72" spans="1:5" x14ac:dyDescent="0.25">
      <c r="A72" s="189" t="s">
        <v>39</v>
      </c>
      <c r="B72" s="189"/>
      <c r="C72" s="189"/>
      <c r="D72" s="189"/>
      <c r="E72" s="189"/>
    </row>
    <row r="74" spans="1:5" x14ac:dyDescent="0.25">
      <c r="A74" s="31">
        <v>2</v>
      </c>
      <c r="B74" s="68" t="s">
        <v>40</v>
      </c>
      <c r="C74" s="69"/>
      <c r="D74" s="31" t="s">
        <v>3</v>
      </c>
      <c r="E74" s="31" t="s">
        <v>90</v>
      </c>
    </row>
    <row r="75" spans="1:5" x14ac:dyDescent="0.25">
      <c r="A75" s="5" t="s">
        <v>18</v>
      </c>
      <c r="B75" s="66" t="s">
        <v>19</v>
      </c>
      <c r="C75" s="67"/>
      <c r="D75" s="6">
        <f>D42</f>
        <v>0</v>
      </c>
      <c r="E75" s="22"/>
    </row>
    <row r="76" spans="1:5" x14ac:dyDescent="0.25">
      <c r="A76" s="5" t="s">
        <v>22</v>
      </c>
      <c r="B76" s="66" t="s">
        <v>23</v>
      </c>
      <c r="C76" s="67"/>
      <c r="D76" s="6">
        <f>D56</f>
        <v>0</v>
      </c>
      <c r="E76" s="22"/>
    </row>
    <row r="77" spans="1:5" x14ac:dyDescent="0.25">
      <c r="A77" s="5" t="s">
        <v>36</v>
      </c>
      <c r="B77" s="66" t="s">
        <v>37</v>
      </c>
      <c r="C77" s="67"/>
      <c r="D77" s="6">
        <f>D69</f>
        <v>763.32799999999997</v>
      </c>
      <c r="E77" s="22"/>
    </row>
    <row r="78" spans="1:5" x14ac:dyDescent="0.25">
      <c r="A78" s="194" t="s">
        <v>15</v>
      </c>
      <c r="B78" s="195"/>
      <c r="C78" s="196"/>
      <c r="D78" s="10">
        <f>SUM(D75:D77)</f>
        <v>763.32799999999997</v>
      </c>
      <c r="E78" s="22"/>
    </row>
    <row r="79" spans="1:5" x14ac:dyDescent="0.25">
      <c r="A79" s="3"/>
    </row>
    <row r="81" spans="1:5" x14ac:dyDescent="0.25">
      <c r="A81" s="189" t="s">
        <v>41</v>
      </c>
      <c r="B81" s="189"/>
      <c r="C81" s="189"/>
      <c r="D81" s="189"/>
      <c r="E81" s="189"/>
    </row>
    <row r="83" spans="1:5" x14ac:dyDescent="0.25">
      <c r="A83" s="31">
        <v>3</v>
      </c>
      <c r="B83" s="31" t="s">
        <v>42</v>
      </c>
      <c r="C83" s="31" t="s">
        <v>24</v>
      </c>
      <c r="D83" s="31" t="s">
        <v>3</v>
      </c>
      <c r="E83" s="31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0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</v>
      </c>
      <c r="E85" s="44" t="s">
        <v>151</v>
      </c>
    </row>
    <row r="86" spans="1:5" ht="25.5" x14ac:dyDescent="0.25">
      <c r="A86" s="5" t="s">
        <v>8</v>
      </c>
      <c r="B86" s="9" t="s">
        <v>119</v>
      </c>
      <c r="C86" s="34">
        <v>0.04</v>
      </c>
      <c r="D86" s="6">
        <f t="shared" si="1"/>
        <v>0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0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0</v>
      </c>
      <c r="E88" s="44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4"/>
    </row>
    <row r="90" spans="1:5" x14ac:dyDescent="0.25">
      <c r="A90" s="31" t="s">
        <v>15</v>
      </c>
      <c r="B90" s="31"/>
      <c r="C90" s="10"/>
      <c r="D90" s="10">
        <f>SUM(D84:D89)</f>
        <v>0</v>
      </c>
      <c r="E90" s="44"/>
    </row>
    <row r="93" spans="1:5" x14ac:dyDescent="0.25">
      <c r="A93" s="189" t="s">
        <v>47</v>
      </c>
      <c r="B93" s="189"/>
      <c r="C93" s="189"/>
      <c r="D93" s="189"/>
      <c r="E93" s="189"/>
    </row>
    <row r="95" spans="1:5" x14ac:dyDescent="0.25">
      <c r="A95" s="189" t="s">
        <v>48</v>
      </c>
      <c r="B95" s="189"/>
      <c r="C95" s="189"/>
      <c r="D95" s="189"/>
      <c r="E95" s="189"/>
    </row>
    <row r="96" spans="1:5" x14ac:dyDescent="0.25">
      <c r="A96" s="2"/>
    </row>
    <row r="97" spans="1:5" x14ac:dyDescent="0.25">
      <c r="A97" s="31" t="s">
        <v>49</v>
      </c>
      <c r="B97" s="31" t="s">
        <v>50</v>
      </c>
      <c r="C97" s="31" t="s">
        <v>24</v>
      </c>
      <c r="D97" s="31" t="s">
        <v>3</v>
      </c>
      <c r="E97" s="31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ref="D99:D103" si="2">($D$31+$D$78+$D$90)*C99</f>
        <v>3.1692954488888887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0.1501211733333333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0.26664355030343051</v>
      </c>
      <c r="E101" s="54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0.70040534630399987</v>
      </c>
      <c r="E102" s="44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1.6976960810755461</v>
      </c>
      <c r="E103" s="44"/>
    </row>
    <row r="104" spans="1:5" x14ac:dyDescent="0.25">
      <c r="A104" s="194" t="s">
        <v>34</v>
      </c>
      <c r="B104" s="195"/>
      <c r="C104" s="196"/>
      <c r="D104" s="10">
        <f>SUM(D98:D103)</f>
        <v>5.9841615999051987</v>
      </c>
      <c r="E104" s="22"/>
    </row>
    <row r="107" spans="1:5" x14ac:dyDescent="0.25">
      <c r="A107" s="208" t="s">
        <v>55</v>
      </c>
      <c r="B107" s="208"/>
      <c r="C107" s="208"/>
      <c r="D107" s="208"/>
      <c r="E107" s="208"/>
    </row>
    <row r="108" spans="1:5" x14ac:dyDescent="0.25">
      <c r="A108" s="2"/>
    </row>
    <row r="109" spans="1:5" x14ac:dyDescent="0.25">
      <c r="A109" s="31" t="s">
        <v>56</v>
      </c>
      <c r="B109" s="194" t="s">
        <v>57</v>
      </c>
      <c r="C109" s="196"/>
      <c r="D109" s="31" t="s">
        <v>3</v>
      </c>
      <c r="E109" s="31" t="s">
        <v>129</v>
      </c>
    </row>
    <row r="110" spans="1:5" x14ac:dyDescent="0.25">
      <c r="A110" s="5" t="s">
        <v>4</v>
      </c>
      <c r="B110" s="197" t="s">
        <v>58</v>
      </c>
      <c r="C110" s="198"/>
      <c r="D110" s="6"/>
      <c r="E110" s="22"/>
    </row>
    <row r="111" spans="1:5" x14ac:dyDescent="0.25">
      <c r="A111" s="194" t="s">
        <v>15</v>
      </c>
      <c r="B111" s="195"/>
      <c r="C111" s="196"/>
      <c r="D111" s="6">
        <f>D110</f>
        <v>0</v>
      </c>
      <c r="E111" s="22"/>
    </row>
    <row r="114" spans="1:5" x14ac:dyDescent="0.25">
      <c r="A114" s="189" t="s">
        <v>59</v>
      </c>
      <c r="B114" s="189"/>
      <c r="C114" s="189"/>
      <c r="D114" s="189"/>
      <c r="E114" s="189"/>
    </row>
    <row r="115" spans="1:5" x14ac:dyDescent="0.25">
      <c r="A115" s="2"/>
    </row>
    <row r="116" spans="1:5" x14ac:dyDescent="0.25">
      <c r="A116" s="31">
        <v>4</v>
      </c>
      <c r="B116" s="68" t="s">
        <v>60</v>
      </c>
      <c r="C116" s="69"/>
      <c r="D116" s="31" t="s">
        <v>3</v>
      </c>
      <c r="E116" s="31" t="s">
        <v>90</v>
      </c>
    </row>
    <row r="117" spans="1:5" x14ac:dyDescent="0.25">
      <c r="A117" s="5" t="s">
        <v>49</v>
      </c>
      <c r="B117" s="66" t="s">
        <v>50</v>
      </c>
      <c r="C117" s="67"/>
      <c r="D117" s="6">
        <f>D104</f>
        <v>5.9841615999051987</v>
      </c>
      <c r="E117" s="22"/>
    </row>
    <row r="118" spans="1:5" x14ac:dyDescent="0.25">
      <c r="A118" s="5" t="s">
        <v>56</v>
      </c>
      <c r="B118" s="66" t="s">
        <v>57</v>
      </c>
      <c r="C118" s="67"/>
      <c r="D118" s="6">
        <f>D111</f>
        <v>0</v>
      </c>
      <c r="E118" s="22"/>
    </row>
    <row r="119" spans="1:5" x14ac:dyDescent="0.25">
      <c r="A119" s="194" t="s">
        <v>15</v>
      </c>
      <c r="B119" s="195"/>
      <c r="C119" s="196"/>
      <c r="D119" s="10">
        <f>SUM(D117:D118)</f>
        <v>5.9841615999051987</v>
      </c>
      <c r="E119" s="22"/>
    </row>
    <row r="122" spans="1:5" x14ac:dyDescent="0.25">
      <c r="A122" s="189" t="s">
        <v>61</v>
      </c>
      <c r="B122" s="189"/>
      <c r="C122" s="189"/>
      <c r="D122" s="189"/>
      <c r="E122" s="189"/>
    </row>
    <row r="124" spans="1:5" x14ac:dyDescent="0.25">
      <c r="A124" s="31">
        <v>5</v>
      </c>
      <c r="B124" s="68" t="s">
        <v>62</v>
      </c>
      <c r="C124" s="69"/>
      <c r="D124" s="31" t="s">
        <v>3</v>
      </c>
      <c r="E124" s="31" t="s">
        <v>90</v>
      </c>
    </row>
    <row r="125" spans="1:5" x14ac:dyDescent="0.25">
      <c r="A125" s="5" t="s">
        <v>4</v>
      </c>
      <c r="B125" s="66" t="s">
        <v>63</v>
      </c>
      <c r="C125" s="67"/>
      <c r="D125" s="6">
        <f>SUMIFS(Uniformes!G:G,Uniformes!H:H,Líder!$C$18)</f>
        <v>0</v>
      </c>
      <c r="E125" s="44" t="s">
        <v>190</v>
      </c>
    </row>
    <row r="126" spans="1:5" x14ac:dyDescent="0.25">
      <c r="A126" s="5" t="s">
        <v>6</v>
      </c>
      <c r="B126" s="66" t="s">
        <v>64</v>
      </c>
      <c r="C126" s="67"/>
      <c r="D126" s="6">
        <f>SUMIFS(Materiais!H:H,Materiais!I:I,Líder!C18)</f>
        <v>0</v>
      </c>
      <c r="E126" s="44" t="s">
        <v>190</v>
      </c>
    </row>
    <row r="127" spans="1:5" x14ac:dyDescent="0.25">
      <c r="A127" s="5" t="s">
        <v>8</v>
      </c>
      <c r="B127" s="66" t="s">
        <v>65</v>
      </c>
      <c r="C127" s="67"/>
      <c r="D127" s="6">
        <f>IFERROR(SUMIFS(Equipamentos!J:J,Equipamentos!K:K,Líder!$C$18)/SUM(Resumo!H5:H9),0)</f>
        <v>0</v>
      </c>
      <c r="E127" s="44" t="s">
        <v>194</v>
      </c>
    </row>
    <row r="128" spans="1:5" x14ac:dyDescent="0.25">
      <c r="A128" s="5" t="s">
        <v>10</v>
      </c>
      <c r="B128" s="66" t="s">
        <v>155</v>
      </c>
      <c r="C128" s="67"/>
      <c r="D128" s="6">
        <f>SUMIFS(EPIs!G:G,EPIs!H:H,Líder!$C$18)</f>
        <v>0</v>
      </c>
      <c r="E128" s="22"/>
    </row>
    <row r="129" spans="1:5" x14ac:dyDescent="0.25">
      <c r="A129" s="5" t="s">
        <v>10</v>
      </c>
      <c r="B129" s="66"/>
      <c r="C129" s="67"/>
      <c r="D129" s="6"/>
      <c r="E129" s="65"/>
    </row>
    <row r="130" spans="1:5" x14ac:dyDescent="0.25">
      <c r="A130" s="194" t="s">
        <v>34</v>
      </c>
      <c r="B130" s="195"/>
      <c r="C130" s="196"/>
      <c r="D130" s="10">
        <f>SUM(D125:D129)</f>
        <v>0</v>
      </c>
      <c r="E130" s="22"/>
    </row>
    <row r="133" spans="1:5" x14ac:dyDescent="0.25">
      <c r="A133" s="189" t="s">
        <v>66</v>
      </c>
      <c r="B133" s="189"/>
      <c r="C133" s="189"/>
      <c r="D133" s="189"/>
      <c r="E133" s="189"/>
    </row>
    <row r="135" spans="1:5" x14ac:dyDescent="0.25">
      <c r="A135" s="31">
        <v>6</v>
      </c>
      <c r="B135" s="11" t="s">
        <v>67</v>
      </c>
      <c r="C135" s="31" t="s">
        <v>24</v>
      </c>
      <c r="D135" s="31" t="s">
        <v>3</v>
      </c>
      <c r="E135" s="31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(D31+D78+D90+D119+D130)*C136</f>
        <v>38.465608079995263</v>
      </c>
      <c r="E136" s="44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(D31+D78+D90+D119+D130+D136)*C137</f>
        <v>80.77777696799005</v>
      </c>
      <c r="E137" s="44"/>
    </row>
    <row r="138" spans="1:5" x14ac:dyDescent="0.25">
      <c r="A138" s="5" t="s">
        <v>8</v>
      </c>
      <c r="B138" s="7" t="s">
        <v>118</v>
      </c>
      <c r="C138" s="13">
        <f>C140+C141+C144</f>
        <v>9.2499999999999999E-2</v>
      </c>
      <c r="D138" s="6">
        <f>SUM(D139:D144)</f>
        <v>90.569022661079742</v>
      </c>
      <c r="E138" s="44"/>
    </row>
    <row r="139" spans="1:5" ht="15.75" hidden="1" customHeight="1" x14ac:dyDescent="0.25">
      <c r="A139" s="5"/>
      <c r="B139" s="7" t="s">
        <v>70</v>
      </c>
      <c r="C139" s="12"/>
      <c r="D139" s="6"/>
      <c r="E139" s="44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(($D$31+$D$78+$D$90+$D$119+$D$130+$D$136+$D$137)/(1-$C$138))*C140</f>
        <v>16.155555393598011</v>
      </c>
      <c r="E140" s="44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(($D$31+$D$78+$D$90+$D$119+$D$130+$D$136+$D$137)/(1-$C$138))*C141</f>
        <v>74.413467267481735</v>
      </c>
      <c r="E141" s="44"/>
    </row>
    <row r="142" spans="1:5" ht="15.75" hidden="1" customHeight="1" x14ac:dyDescent="0.25">
      <c r="A142" s="5"/>
      <c r="B142" s="7" t="s">
        <v>71</v>
      </c>
      <c r="C142" s="12"/>
      <c r="D142" s="6">
        <f>(($D$31+$D$78+$D$90+$D$119+$D$130+$D$136+$D$137)/(1-$C$138))*C142</f>
        <v>0</v>
      </c>
      <c r="E142" s="44"/>
    </row>
    <row r="143" spans="1:5" hidden="1" x14ac:dyDescent="0.25">
      <c r="A143" s="5"/>
      <c r="B143" s="7" t="s">
        <v>72</v>
      </c>
      <c r="C143" s="12"/>
      <c r="D143" s="6">
        <f>(($D$31+$D$78+$D$90+$D$119+$D$130+$D$136+$D$137)/(1-$C$138))*C143</f>
        <v>0</v>
      </c>
      <c r="E143" s="44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Presumido",Informações!$B$4,IF(Informações!$B$4="Lucro Real",$G$4)))</f>
        <v>0</v>
      </c>
      <c r="D144" s="6">
        <f>(($D$31+$D$78+$D$90+$D$119+$D$130+$D$136+$D$137)/(1-$C$138))*C144</f>
        <v>0</v>
      </c>
      <c r="E144" s="44"/>
    </row>
    <row r="145" spans="1:5" x14ac:dyDescent="0.25">
      <c r="A145" s="31" t="s">
        <v>34</v>
      </c>
      <c r="B145" s="31"/>
      <c r="C145" s="10"/>
      <c r="D145" s="10">
        <f>D136+D137+D138</f>
        <v>209.81240770906504</v>
      </c>
      <c r="E145" s="22"/>
    </row>
    <row r="148" spans="1:5" x14ac:dyDescent="0.25">
      <c r="A148" s="189" t="s">
        <v>73</v>
      </c>
      <c r="B148" s="189"/>
      <c r="C148" s="189"/>
      <c r="D148" s="189"/>
      <c r="E148" s="189"/>
    </row>
    <row r="150" spans="1:5" x14ac:dyDescent="0.25">
      <c r="A150" s="31"/>
      <c r="B150" s="68" t="s">
        <v>74</v>
      </c>
      <c r="C150" s="69"/>
      <c r="D150" s="31" t="s">
        <v>3</v>
      </c>
      <c r="E150" s="31" t="s">
        <v>90</v>
      </c>
    </row>
    <row r="151" spans="1:5" x14ac:dyDescent="0.25">
      <c r="A151" s="5" t="s">
        <v>4</v>
      </c>
      <c r="B151" s="66" t="s">
        <v>1</v>
      </c>
      <c r="C151" s="67"/>
      <c r="D151" s="6">
        <f>D31</f>
        <v>0</v>
      </c>
      <c r="E151" s="22"/>
    </row>
    <row r="152" spans="1:5" x14ac:dyDescent="0.25">
      <c r="A152" s="5" t="s">
        <v>6</v>
      </c>
      <c r="B152" s="66" t="s">
        <v>16</v>
      </c>
      <c r="C152" s="67"/>
      <c r="D152" s="6">
        <f>D78</f>
        <v>763.32799999999997</v>
      </c>
      <c r="E152" s="22"/>
    </row>
    <row r="153" spans="1:5" x14ac:dyDescent="0.25">
      <c r="A153" s="5" t="s">
        <v>8</v>
      </c>
      <c r="B153" s="66" t="s">
        <v>41</v>
      </c>
      <c r="C153" s="67"/>
      <c r="D153" s="6">
        <f>D90</f>
        <v>0</v>
      </c>
      <c r="E153" s="22"/>
    </row>
    <row r="154" spans="1:5" x14ac:dyDescent="0.25">
      <c r="A154" s="5" t="s">
        <v>10</v>
      </c>
      <c r="B154" s="66" t="s">
        <v>47</v>
      </c>
      <c r="C154" s="40"/>
      <c r="D154" s="6">
        <f>D119</f>
        <v>5.9841615999051987</v>
      </c>
      <c r="E154" s="22"/>
    </row>
    <row r="155" spans="1:5" x14ac:dyDescent="0.25">
      <c r="A155" s="5" t="s">
        <v>12</v>
      </c>
      <c r="B155" s="66" t="s">
        <v>61</v>
      </c>
      <c r="C155" s="40"/>
      <c r="D155" s="6">
        <f>D130</f>
        <v>0</v>
      </c>
      <c r="E155" s="22"/>
    </row>
    <row r="156" spans="1:5" ht="15.75" customHeight="1" x14ac:dyDescent="0.25">
      <c r="A156" s="194" t="s">
        <v>75</v>
      </c>
      <c r="B156" s="195"/>
      <c r="C156" s="196"/>
      <c r="D156" s="10">
        <f>SUM(D151:D155)</f>
        <v>769.31216159990515</v>
      </c>
      <c r="E156" s="22"/>
    </row>
    <row r="157" spans="1:5" x14ac:dyDescent="0.25">
      <c r="A157" s="23" t="s">
        <v>29</v>
      </c>
      <c r="B157" s="66" t="s">
        <v>76</v>
      </c>
      <c r="C157" s="40"/>
      <c r="D157" s="6">
        <f>D145</f>
        <v>209.81240770906504</v>
      </c>
      <c r="E157" s="22"/>
    </row>
    <row r="158" spans="1:5" ht="15.75" customHeight="1" x14ac:dyDescent="0.25">
      <c r="A158" s="194" t="s">
        <v>77</v>
      </c>
      <c r="B158" s="195"/>
      <c r="C158" s="196"/>
      <c r="D158" s="10">
        <f>D156+D157</f>
        <v>979.12456930897019</v>
      </c>
      <c r="E158" s="22"/>
    </row>
    <row r="159" spans="1:5" ht="15.75" customHeight="1" x14ac:dyDescent="0.25">
      <c r="A159" s="194" t="s">
        <v>83</v>
      </c>
      <c r="B159" s="195"/>
      <c r="C159" s="196"/>
      <c r="D159" s="10">
        <f>D158*$E$12</f>
        <v>0</v>
      </c>
      <c r="E159" s="22"/>
    </row>
    <row r="160" spans="1:5" ht="15.75" customHeight="1" x14ac:dyDescent="0.25">
      <c r="A160" s="194" t="s">
        <v>84</v>
      </c>
      <c r="B160" s="195"/>
      <c r="C160" s="196"/>
      <c r="D160" s="10">
        <f>D159*12</f>
        <v>0</v>
      </c>
      <c r="E160" s="22"/>
    </row>
  </sheetData>
  <mergeCells count="54">
    <mergeCell ref="A9:D9"/>
    <mergeCell ref="A1:E1"/>
    <mergeCell ref="C5:D5"/>
    <mergeCell ref="C6:D6"/>
    <mergeCell ref="C7:D7"/>
    <mergeCell ref="C8:D8"/>
    <mergeCell ref="B64:C64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A56:B56"/>
    <mergeCell ref="A59:E59"/>
    <mergeCell ref="B61:C61"/>
    <mergeCell ref="B62:C62"/>
    <mergeCell ref="B63:C63"/>
    <mergeCell ref="A31:B31"/>
    <mergeCell ref="A34:E34"/>
    <mergeCell ref="A36:E36"/>
    <mergeCell ref="A42:B42"/>
    <mergeCell ref="A45:E45"/>
    <mergeCell ref="A93:E93"/>
    <mergeCell ref="A95:E95"/>
    <mergeCell ref="A104:C104"/>
    <mergeCell ref="A107:E107"/>
    <mergeCell ref="B65:C65"/>
    <mergeCell ref="B68:C68"/>
    <mergeCell ref="A69:C69"/>
    <mergeCell ref="A72:E72"/>
    <mergeCell ref="A78:C78"/>
    <mergeCell ref="A81:E81"/>
    <mergeCell ref="E12:E13"/>
    <mergeCell ref="B66:C66"/>
    <mergeCell ref="A160:C160"/>
    <mergeCell ref="B110:C110"/>
    <mergeCell ref="A111:C111"/>
    <mergeCell ref="A114:E114"/>
    <mergeCell ref="A119:C119"/>
    <mergeCell ref="A122:E122"/>
    <mergeCell ref="A130:C130"/>
    <mergeCell ref="A133:E133"/>
    <mergeCell ref="A148:E148"/>
    <mergeCell ref="A156:C156"/>
    <mergeCell ref="A158:C158"/>
    <mergeCell ref="A159:C159"/>
    <mergeCell ref="B109:C109"/>
    <mergeCell ref="B67:C67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0" orientation="landscape" verticalDpi="300" r:id="rId1"/>
  <rowBreaks count="5" manualBreakCount="5">
    <brk id="33" max="6" man="1"/>
    <brk id="58" max="6" man="1"/>
    <brk id="85" max="6" man="1"/>
    <brk id="112" max="6" man="1"/>
    <brk id="147" max="6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9"/>
  <sheetViews>
    <sheetView showGridLines="0" topLeftCell="A27" zoomScaleNormal="100" workbookViewId="0">
      <selection activeCell="A48" sqref="A48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9" x14ac:dyDescent="0.25">
      <c r="A1" s="189" t="s">
        <v>0</v>
      </c>
      <c r="B1" s="189"/>
      <c r="C1" s="189"/>
      <c r="D1" s="189"/>
      <c r="E1" s="189"/>
      <c r="I1" s="45"/>
    </row>
    <row r="2" spans="1:9" x14ac:dyDescent="0.25">
      <c r="A2" s="60" t="s">
        <v>107</v>
      </c>
      <c r="B2" s="60"/>
      <c r="G2" s="88"/>
      <c r="H2" s="15"/>
    </row>
    <row r="3" spans="1:9" x14ac:dyDescent="0.25">
      <c r="A3" s="22" t="s">
        <v>108</v>
      </c>
      <c r="B3" s="22"/>
      <c r="G3" s="87"/>
      <c r="H3" s="15"/>
    </row>
    <row r="4" spans="1:9" x14ac:dyDescent="0.25">
      <c r="A4" s="14"/>
      <c r="B4" s="14"/>
      <c r="H4" s="15"/>
    </row>
    <row r="5" spans="1:9" x14ac:dyDescent="0.25">
      <c r="A5" s="5" t="s">
        <v>4</v>
      </c>
      <c r="B5" s="57" t="s">
        <v>109</v>
      </c>
      <c r="C5" s="206"/>
      <c r="D5" s="207"/>
      <c r="H5" s="15"/>
    </row>
    <row r="6" spans="1:9" x14ac:dyDescent="0.25">
      <c r="A6" s="5" t="s">
        <v>6</v>
      </c>
      <c r="B6" s="57" t="s">
        <v>110</v>
      </c>
      <c r="C6" s="207"/>
      <c r="D6" s="207"/>
      <c r="H6" s="15"/>
    </row>
    <row r="7" spans="1:9" ht="25.5" x14ac:dyDescent="0.25">
      <c r="A7" s="5" t="s">
        <v>8</v>
      </c>
      <c r="B7" s="57" t="s">
        <v>111</v>
      </c>
      <c r="C7" s="207"/>
      <c r="D7" s="207"/>
      <c r="H7" s="15"/>
    </row>
    <row r="8" spans="1:9" x14ac:dyDescent="0.25">
      <c r="A8" s="5" t="s">
        <v>10</v>
      </c>
      <c r="B8" s="57" t="s">
        <v>112</v>
      </c>
      <c r="C8" s="207"/>
      <c r="D8" s="207"/>
      <c r="H8" s="15"/>
    </row>
    <row r="9" spans="1:9" x14ac:dyDescent="0.25">
      <c r="A9" s="205"/>
      <c r="B9" s="205"/>
      <c r="C9" s="205"/>
      <c r="D9" s="205"/>
      <c r="E9" s="59"/>
    </row>
    <row r="10" spans="1:9" x14ac:dyDescent="0.25">
      <c r="A10" s="189" t="s">
        <v>78</v>
      </c>
      <c r="B10" s="189"/>
      <c r="C10" s="189"/>
      <c r="D10" s="189"/>
      <c r="E10" s="189"/>
    </row>
    <row r="11" spans="1:9" ht="25.5" customHeight="1" x14ac:dyDescent="0.25">
      <c r="A11" s="199" t="s">
        <v>79</v>
      </c>
      <c r="B11" s="199"/>
      <c r="C11" s="32" t="s">
        <v>80</v>
      </c>
      <c r="D11" s="86" t="s">
        <v>81</v>
      </c>
      <c r="E11" s="86" t="s">
        <v>189</v>
      </c>
    </row>
    <row r="12" spans="1:9" ht="15.75" customHeight="1" x14ac:dyDescent="0.25">
      <c r="A12" s="200" t="s">
        <v>104</v>
      </c>
      <c r="B12" s="200"/>
      <c r="C12" s="202" t="s">
        <v>82</v>
      </c>
      <c r="D12" s="202"/>
      <c r="E12" s="202"/>
    </row>
    <row r="13" spans="1:9" x14ac:dyDescent="0.25">
      <c r="A13" s="201"/>
      <c r="B13" s="201"/>
      <c r="C13" s="203"/>
      <c r="D13" s="203"/>
      <c r="E13" s="203"/>
    </row>
    <row r="14" spans="1:9" x14ac:dyDescent="0.25">
      <c r="A14" s="4"/>
      <c r="B14" s="4"/>
      <c r="C14" s="4"/>
      <c r="D14" s="4"/>
      <c r="E14" s="4"/>
    </row>
    <row r="15" spans="1:9" x14ac:dyDescent="0.25">
      <c r="A15" s="38">
        <v>1</v>
      </c>
      <c r="B15" s="37" t="s">
        <v>113</v>
      </c>
      <c r="C15" s="204" t="s">
        <v>104</v>
      </c>
      <c r="D15" s="204"/>
      <c r="E15" s="204"/>
      <c r="F15" s="36"/>
    </row>
    <row r="16" spans="1:9" x14ac:dyDescent="0.25">
      <c r="A16" s="38">
        <v>2</v>
      </c>
      <c r="B16" s="37" t="s">
        <v>114</v>
      </c>
      <c r="C16" s="204"/>
      <c r="D16" s="204"/>
      <c r="E16" s="204"/>
      <c r="F16" s="36"/>
    </row>
    <row r="17" spans="1:6" x14ac:dyDescent="0.25">
      <c r="A17" s="38">
        <v>3</v>
      </c>
      <c r="B17" s="37" t="s">
        <v>115</v>
      </c>
      <c r="C17" s="213">
        <f>$D$25+$D$30</f>
        <v>1412.2800000000002</v>
      </c>
      <c r="D17" s="213"/>
      <c r="E17" s="213"/>
      <c r="F17" s="36"/>
    </row>
    <row r="18" spans="1:6" x14ac:dyDescent="0.25">
      <c r="A18" s="38">
        <v>4</v>
      </c>
      <c r="B18" s="37" t="s">
        <v>116</v>
      </c>
      <c r="C18" s="204" t="s">
        <v>157</v>
      </c>
      <c r="D18" s="204"/>
      <c r="E18" s="204"/>
      <c r="F18" s="36"/>
    </row>
    <row r="19" spans="1:6" x14ac:dyDescent="0.25">
      <c r="A19" s="38">
        <v>5</v>
      </c>
      <c r="B19" s="37" t="s">
        <v>117</v>
      </c>
      <c r="C19" s="204"/>
      <c r="D19" s="204"/>
      <c r="E19" s="204"/>
      <c r="F19" s="36"/>
    </row>
    <row r="20" spans="1:6" x14ac:dyDescent="0.25">
      <c r="A20" s="4"/>
      <c r="B20" s="4"/>
      <c r="C20" s="4"/>
      <c r="D20" s="4"/>
      <c r="E20" s="4"/>
    </row>
    <row r="22" spans="1:6" x14ac:dyDescent="0.25">
      <c r="A22" s="189" t="s">
        <v>1</v>
      </c>
      <c r="B22" s="189"/>
      <c r="C22" s="189"/>
      <c r="D22" s="189"/>
      <c r="E22" s="189"/>
    </row>
    <row r="24" spans="1:6" ht="25.5" customHeight="1" x14ac:dyDescent="0.25">
      <c r="A24" s="31">
        <v>1</v>
      </c>
      <c r="B24" s="55" t="s">
        <v>2</v>
      </c>
      <c r="C24" s="31" t="s">
        <v>24</v>
      </c>
      <c r="D24" s="31" t="s">
        <v>3</v>
      </c>
      <c r="E24" s="31" t="s">
        <v>129</v>
      </c>
    </row>
    <row r="25" spans="1:6" x14ac:dyDescent="0.25">
      <c r="A25" s="5" t="s">
        <v>4</v>
      </c>
      <c r="B25" s="57" t="s">
        <v>5</v>
      </c>
      <c r="C25" s="13"/>
      <c r="D25" s="6">
        <v>1359.65</v>
      </c>
      <c r="E25" s="22" t="s">
        <v>140</v>
      </c>
    </row>
    <row r="26" spans="1:6" x14ac:dyDescent="0.25">
      <c r="A26" s="5" t="s">
        <v>6</v>
      </c>
      <c r="B26" s="57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57" t="s">
        <v>9</v>
      </c>
      <c r="C27" s="13">
        <v>0</v>
      </c>
      <c r="D27" s="6">
        <f>C27*Informações!$B$3</f>
        <v>0</v>
      </c>
      <c r="E27" s="22" t="s">
        <v>140</v>
      </c>
    </row>
    <row r="28" spans="1:6" x14ac:dyDescent="0.25">
      <c r="A28" s="5" t="s">
        <v>10</v>
      </c>
      <c r="B28" s="57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57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57" t="s">
        <v>105</v>
      </c>
      <c r="C30" s="13"/>
      <c r="D30" s="6">
        <v>52.63</v>
      </c>
      <c r="E30" s="22" t="s">
        <v>140</v>
      </c>
    </row>
    <row r="31" spans="1:6" x14ac:dyDescent="0.25">
      <c r="A31" s="194" t="s">
        <v>15</v>
      </c>
      <c r="B31" s="196"/>
      <c r="C31" s="10"/>
      <c r="D31" s="10">
        <f>SUM(D25:D30)</f>
        <v>1412.2800000000002</v>
      </c>
      <c r="E31" s="10"/>
    </row>
    <row r="34" spans="1:5" x14ac:dyDescent="0.25">
      <c r="A34" s="189" t="s">
        <v>16</v>
      </c>
      <c r="B34" s="189"/>
      <c r="C34" s="189"/>
      <c r="D34" s="189"/>
      <c r="E34" s="189"/>
    </row>
    <row r="35" spans="1:5" x14ac:dyDescent="0.25">
      <c r="A35" s="2"/>
    </row>
    <row r="36" spans="1:5" x14ac:dyDescent="0.25">
      <c r="A36" s="189" t="s">
        <v>17</v>
      </c>
      <c r="B36" s="189"/>
      <c r="C36" s="189"/>
      <c r="D36" s="189"/>
      <c r="E36" s="189"/>
    </row>
    <row r="38" spans="1:5" x14ac:dyDescent="0.25">
      <c r="A38" s="31" t="s">
        <v>18</v>
      </c>
      <c r="B38" s="31" t="s">
        <v>19</v>
      </c>
      <c r="C38" s="31" t="s">
        <v>24</v>
      </c>
      <c r="D38" s="31" t="s">
        <v>3</v>
      </c>
      <c r="E38" s="31" t="s">
        <v>129</v>
      </c>
    </row>
    <row r="39" spans="1:5" x14ac:dyDescent="0.25">
      <c r="A39" s="5" t="s">
        <v>4</v>
      </c>
      <c r="B39" s="7" t="s">
        <v>20</v>
      </c>
      <c r="C39" s="13">
        <f>1/12</f>
        <v>8.3333333333333329E-2</v>
      </c>
      <c r="D39" s="6">
        <f>$D$31*C39</f>
        <v>117.69000000000001</v>
      </c>
      <c r="E39" s="22" t="s">
        <v>130</v>
      </c>
    </row>
    <row r="40" spans="1:5" x14ac:dyDescent="0.25">
      <c r="A40" s="5" t="s">
        <v>6</v>
      </c>
      <c r="B40" s="7" t="s">
        <v>51</v>
      </c>
      <c r="C40" s="13">
        <f>1/12</f>
        <v>8.3333333333333329E-2</v>
      </c>
      <c r="D40" s="6">
        <f>$D$31*C40</f>
        <v>117.69000000000001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39.230000000000004</v>
      </c>
      <c r="E41" s="22" t="s">
        <v>143</v>
      </c>
    </row>
    <row r="42" spans="1:5" x14ac:dyDescent="0.25">
      <c r="A42" s="194" t="s">
        <v>15</v>
      </c>
      <c r="B42" s="196"/>
      <c r="C42" s="10"/>
      <c r="D42" s="10">
        <f>SUM(D39:D41)</f>
        <v>274.61</v>
      </c>
      <c r="E42" s="22"/>
    </row>
    <row r="43" spans="1:5" x14ac:dyDescent="0.25">
      <c r="D43" s="61"/>
    </row>
    <row r="45" spans="1:5" x14ac:dyDescent="0.25">
      <c r="A45" s="189" t="s">
        <v>21</v>
      </c>
      <c r="B45" s="189"/>
      <c r="C45" s="189"/>
      <c r="D45" s="189"/>
      <c r="E45" s="189"/>
    </row>
    <row r="47" spans="1:5" x14ac:dyDescent="0.25">
      <c r="A47" s="31" t="s">
        <v>22</v>
      </c>
      <c r="B47" s="31" t="s">
        <v>23</v>
      </c>
      <c r="C47" s="31" t="s">
        <v>24</v>
      </c>
      <c r="D47" s="31" t="s">
        <v>3</v>
      </c>
      <c r="E47" s="31" t="s">
        <v>129</v>
      </c>
    </row>
    <row r="48" spans="1:5" ht="38.25" x14ac:dyDescent="0.25">
      <c r="A48" s="5" t="s">
        <v>4</v>
      </c>
      <c r="B48" s="7" t="s">
        <v>25</v>
      </c>
      <c r="C48" s="8">
        <v>0.2</v>
      </c>
      <c r="D48" s="6">
        <f>($D$31+$D$42)*C48</f>
        <v>337.3780000000001</v>
      </c>
      <c r="E48" s="7" t="s">
        <v>131</v>
      </c>
    </row>
    <row r="49" spans="1:5" ht="25.5" x14ac:dyDescent="0.25">
      <c r="A49" s="5" t="s">
        <v>6</v>
      </c>
      <c r="B49" s="7" t="s">
        <v>26</v>
      </c>
      <c r="C49" s="8">
        <f>IF(Informações!$B$4="Simples Nacional",0,2.5%)</f>
        <v>2.5000000000000001E-2</v>
      </c>
      <c r="D49" s="6">
        <f t="shared" ref="D49:D55" si="0">($D$31+$D$42)*C49</f>
        <v>42.172250000000012</v>
      </c>
      <c r="E49" s="7" t="s">
        <v>132</v>
      </c>
    </row>
    <row r="50" spans="1:5" ht="25.5" x14ac:dyDescent="0.25">
      <c r="A50" s="5" t="s">
        <v>8</v>
      </c>
      <c r="B50" s="7" t="s">
        <v>134</v>
      </c>
      <c r="C50" s="33">
        <v>0.06</v>
      </c>
      <c r="D50" s="6">
        <f t="shared" si="0"/>
        <v>101.21340000000002</v>
      </c>
      <c r="E50" s="7" t="s">
        <v>133</v>
      </c>
    </row>
    <row r="51" spans="1:5" x14ac:dyDescent="0.25">
      <c r="A51" s="5" t="s">
        <v>10</v>
      </c>
      <c r="B51" s="7" t="s">
        <v>27</v>
      </c>
      <c r="C51" s="8">
        <f>IF(Informações!$B$4="Simples Nacional",0,1.5%)</f>
        <v>1.4999999999999999E-2</v>
      </c>
      <c r="D51" s="6">
        <f t="shared" si="0"/>
        <v>25.303350000000005</v>
      </c>
      <c r="E51" s="7" t="s">
        <v>135</v>
      </c>
    </row>
    <row r="52" spans="1:5" ht="38.25" x14ac:dyDescent="0.25">
      <c r="A52" s="5" t="s">
        <v>12</v>
      </c>
      <c r="B52" s="7" t="s">
        <v>28</v>
      </c>
      <c r="C52" s="8">
        <f>IF(Informações!$B$4="Simples Nacional",0,1%)</f>
        <v>0.01</v>
      </c>
      <c r="D52" s="6">
        <f t="shared" si="0"/>
        <v>16.868900000000004</v>
      </c>
      <c r="E52" s="7" t="s">
        <v>136</v>
      </c>
    </row>
    <row r="53" spans="1:5" x14ac:dyDescent="0.25">
      <c r="A53" s="5" t="s">
        <v>29</v>
      </c>
      <c r="B53" s="7" t="s">
        <v>30</v>
      </c>
      <c r="C53" s="8">
        <f>IF(Informações!$B$4="Simples Nacional",0,0.6%)</f>
        <v>6.0000000000000001E-3</v>
      </c>
      <c r="D53" s="6">
        <f t="shared" si="0"/>
        <v>10.121340000000002</v>
      </c>
      <c r="E53" s="7" t="s">
        <v>137</v>
      </c>
    </row>
    <row r="54" spans="1:5" ht="25.5" x14ac:dyDescent="0.25">
      <c r="A54" s="5" t="s">
        <v>14</v>
      </c>
      <c r="B54" s="7" t="s">
        <v>31</v>
      </c>
      <c r="C54" s="8">
        <f>IF(Informações!$B$4="Simples Nacional",0,0.2%)</f>
        <v>2E-3</v>
      </c>
      <c r="D54" s="6">
        <f t="shared" si="0"/>
        <v>3.3737800000000009</v>
      </c>
      <c r="E54" s="7" t="s">
        <v>138</v>
      </c>
    </row>
    <row r="55" spans="1:5" x14ac:dyDescent="0.25">
      <c r="A55" s="5" t="s">
        <v>32</v>
      </c>
      <c r="B55" s="7" t="s">
        <v>33</v>
      </c>
      <c r="C55" s="8">
        <v>0.08</v>
      </c>
      <c r="D55" s="6">
        <f t="shared" si="0"/>
        <v>134.95120000000003</v>
      </c>
      <c r="E55" s="7" t="s">
        <v>149</v>
      </c>
    </row>
    <row r="56" spans="1:5" x14ac:dyDescent="0.25">
      <c r="A56" s="194" t="s">
        <v>34</v>
      </c>
      <c r="B56" s="196"/>
      <c r="C56" s="42">
        <f>SUM(C48:C55)</f>
        <v>0.39800000000000008</v>
      </c>
      <c r="D56" s="10">
        <f>SUM(D48:D55)</f>
        <v>671.38222000000019</v>
      </c>
      <c r="E56" s="22"/>
    </row>
    <row r="59" spans="1:5" x14ac:dyDescent="0.25">
      <c r="A59" s="189" t="s">
        <v>35</v>
      </c>
      <c r="B59" s="189"/>
      <c r="C59" s="189"/>
      <c r="D59" s="189"/>
      <c r="E59" s="189"/>
    </row>
    <row r="61" spans="1:5" x14ac:dyDescent="0.25">
      <c r="A61" s="31" t="s">
        <v>36</v>
      </c>
      <c r="B61" s="194" t="s">
        <v>37</v>
      </c>
      <c r="C61" s="196"/>
      <c r="D61" s="31" t="s">
        <v>3</v>
      </c>
      <c r="E61" s="31" t="s">
        <v>129</v>
      </c>
    </row>
    <row r="62" spans="1:5" ht="64.5" x14ac:dyDescent="0.25">
      <c r="A62" s="5" t="s">
        <v>4</v>
      </c>
      <c r="B62" s="197" t="s">
        <v>120</v>
      </c>
      <c r="C62" s="198"/>
      <c r="D62" s="6">
        <f>IF(VLOOKUP(B62,Beneficios!$A$1:$F$8,1,FALSE)=Copeira!B62,VLOOKUP(B62,Beneficios!$A$1:$F$8,6,FALSE))-$D$25*Beneficios!$E$2</f>
        <v>175.82100000000003</v>
      </c>
      <c r="E62" s="44" t="s">
        <v>139</v>
      </c>
    </row>
    <row r="63" spans="1:5" x14ac:dyDescent="0.25">
      <c r="A63" s="5" t="s">
        <v>6</v>
      </c>
      <c r="B63" s="197" t="s">
        <v>38</v>
      </c>
      <c r="C63" s="198">
        <f>22*16-(22*16)*20%</f>
        <v>281.60000000000002</v>
      </c>
      <c r="D63" s="6">
        <f>IF(VLOOKUP(B63,Beneficios!$A$1:$F$8,1,FALSE)=Copeira!B63,VLOOKUP(B63,Beneficios!$A$1:$F$8,6,FALSE))</f>
        <v>326.12800000000004</v>
      </c>
      <c r="E63" s="22" t="s">
        <v>220</v>
      </c>
    </row>
    <row r="64" spans="1:5" x14ac:dyDescent="0.25">
      <c r="A64" s="5" t="s">
        <v>8</v>
      </c>
      <c r="B64" s="197" t="s">
        <v>106</v>
      </c>
      <c r="C64" s="198">
        <f>120</f>
        <v>120</v>
      </c>
      <c r="D64" s="6">
        <f>IF(VLOOKUP(B64,Beneficios!$A$1:$F$8,1,FALSE)=Copeira!B64,VLOOKUP(B64,Beneficios!$A$1:$F$8,6,FALSE))</f>
        <v>130.80000000000001</v>
      </c>
      <c r="E64" s="22" t="s">
        <v>140</v>
      </c>
    </row>
    <row r="65" spans="1:5" x14ac:dyDescent="0.25">
      <c r="A65" s="5" t="s">
        <v>10</v>
      </c>
      <c r="B65" s="197" t="s">
        <v>217</v>
      </c>
      <c r="C65" s="198"/>
      <c r="D65" s="6">
        <f>30%*Informações!$B$3</f>
        <v>363.59999999999997</v>
      </c>
      <c r="E65" s="22" t="s">
        <v>218</v>
      </c>
    </row>
    <row r="66" spans="1:5" x14ac:dyDescent="0.25">
      <c r="A66" s="5" t="s">
        <v>12</v>
      </c>
      <c r="B66" s="197" t="s">
        <v>215</v>
      </c>
      <c r="C66" s="198"/>
      <c r="D66" s="6">
        <v>49</v>
      </c>
      <c r="E66" s="22" t="s">
        <v>140</v>
      </c>
    </row>
    <row r="67" spans="1:5" x14ac:dyDescent="0.25">
      <c r="A67" s="5" t="s">
        <v>29</v>
      </c>
      <c r="B67" s="197" t="s">
        <v>191</v>
      </c>
      <c r="C67" s="198"/>
      <c r="D67" s="6"/>
      <c r="E67" s="22" t="s">
        <v>140</v>
      </c>
    </row>
    <row r="68" spans="1:5" x14ac:dyDescent="0.25">
      <c r="A68" s="5" t="s">
        <v>14</v>
      </c>
      <c r="B68" s="197" t="s">
        <v>191</v>
      </c>
      <c r="C68" s="198"/>
      <c r="D68" s="6"/>
      <c r="E68" s="22" t="s">
        <v>140</v>
      </c>
    </row>
    <row r="69" spans="1:5" x14ac:dyDescent="0.25">
      <c r="A69" s="194" t="s">
        <v>15</v>
      </c>
      <c r="B69" s="195"/>
      <c r="C69" s="196"/>
      <c r="D69" s="10">
        <f>SUM(D62:D68)</f>
        <v>1045.3489999999999</v>
      </c>
      <c r="E69" s="22"/>
    </row>
    <row r="72" spans="1:5" x14ac:dyDescent="0.25">
      <c r="A72" s="189" t="s">
        <v>39</v>
      </c>
      <c r="B72" s="189"/>
      <c r="C72" s="189"/>
      <c r="D72" s="189"/>
      <c r="E72" s="189"/>
    </row>
    <row r="74" spans="1:5" x14ac:dyDescent="0.25">
      <c r="A74" s="31">
        <v>2</v>
      </c>
      <c r="B74" s="55" t="s">
        <v>40</v>
      </c>
      <c r="C74" s="56"/>
      <c r="D74" s="31" t="s">
        <v>3</v>
      </c>
      <c r="E74" s="31" t="s">
        <v>90</v>
      </c>
    </row>
    <row r="75" spans="1:5" x14ac:dyDescent="0.25">
      <c r="A75" s="5" t="s">
        <v>18</v>
      </c>
      <c r="B75" s="57" t="s">
        <v>19</v>
      </c>
      <c r="C75" s="58"/>
      <c r="D75" s="6">
        <f>D42</f>
        <v>274.61</v>
      </c>
      <c r="E75" s="22"/>
    </row>
    <row r="76" spans="1:5" x14ac:dyDescent="0.25">
      <c r="A76" s="5" t="s">
        <v>22</v>
      </c>
      <c r="B76" s="57" t="s">
        <v>23</v>
      </c>
      <c r="C76" s="58"/>
      <c r="D76" s="6">
        <f>D56</f>
        <v>671.38222000000019</v>
      </c>
      <c r="E76" s="22"/>
    </row>
    <row r="77" spans="1:5" x14ac:dyDescent="0.25">
      <c r="A77" s="5" t="s">
        <v>36</v>
      </c>
      <c r="B77" s="57" t="s">
        <v>37</v>
      </c>
      <c r="C77" s="58"/>
      <c r="D77" s="6">
        <f>D69</f>
        <v>1045.3489999999999</v>
      </c>
      <c r="E77" s="22"/>
    </row>
    <row r="78" spans="1:5" x14ac:dyDescent="0.25">
      <c r="A78" s="194" t="s">
        <v>15</v>
      </c>
      <c r="B78" s="195"/>
      <c r="C78" s="196"/>
      <c r="D78" s="10">
        <f>SUM(D75:D77)</f>
        <v>1991.3412200000002</v>
      </c>
      <c r="E78" s="22"/>
    </row>
    <row r="79" spans="1:5" x14ac:dyDescent="0.25">
      <c r="A79" s="3"/>
    </row>
    <row r="81" spans="1:5" x14ac:dyDescent="0.25">
      <c r="A81" s="189" t="s">
        <v>41</v>
      </c>
      <c r="B81" s="189"/>
      <c r="C81" s="189"/>
      <c r="D81" s="189"/>
      <c r="E81" s="189"/>
    </row>
    <row r="83" spans="1:5" x14ac:dyDescent="0.25">
      <c r="A83" s="31">
        <v>3</v>
      </c>
      <c r="B83" s="31" t="s">
        <v>42</v>
      </c>
      <c r="C83" s="31" t="s">
        <v>24</v>
      </c>
      <c r="D83" s="31" t="s">
        <v>3</v>
      </c>
      <c r="E83" s="31" t="s">
        <v>129</v>
      </c>
    </row>
    <row r="84" spans="1:5" x14ac:dyDescent="0.25">
      <c r="A84" s="5" t="s">
        <v>4</v>
      </c>
      <c r="B84" s="9" t="s">
        <v>43</v>
      </c>
      <c r="C84" s="17">
        <f>1/12*5%</f>
        <v>4.1666666666666666E-3</v>
      </c>
      <c r="D84" s="6">
        <f>($D$31+$D$75)*C84</f>
        <v>7.0287083333333342</v>
      </c>
      <c r="E84" s="7" t="s">
        <v>141</v>
      </c>
    </row>
    <row r="85" spans="1:5" x14ac:dyDescent="0.25">
      <c r="A85" s="5" t="s">
        <v>6</v>
      </c>
      <c r="B85" s="9" t="s">
        <v>44</v>
      </c>
      <c r="C85" s="18">
        <f>8%*C84</f>
        <v>3.3333333333333332E-4</v>
      </c>
      <c r="D85" s="6">
        <f t="shared" ref="D85:D89" si="1">($D$31+$D$75)*C85</f>
        <v>0.56229666666666678</v>
      </c>
      <c r="E85" s="44" t="s">
        <v>151</v>
      </c>
    </row>
    <row r="86" spans="1:5" ht="25.5" x14ac:dyDescent="0.25">
      <c r="A86" s="5" t="s">
        <v>8</v>
      </c>
      <c r="B86" s="9" t="s">
        <v>119</v>
      </c>
      <c r="C86" s="34">
        <v>0.04</v>
      </c>
      <c r="D86" s="6">
        <f t="shared" si="1"/>
        <v>67.475600000000014</v>
      </c>
      <c r="E86" s="7" t="s">
        <v>142</v>
      </c>
    </row>
    <row r="87" spans="1:5" x14ac:dyDescent="0.25">
      <c r="A87" s="5" t="s">
        <v>10</v>
      </c>
      <c r="B87" s="9" t="s">
        <v>45</v>
      </c>
      <c r="C87" s="17">
        <f>7/30/12</f>
        <v>1.9444444444444445E-2</v>
      </c>
      <c r="D87" s="6">
        <f t="shared" si="1"/>
        <v>32.800638888888898</v>
      </c>
      <c r="E87" s="7" t="s">
        <v>144</v>
      </c>
    </row>
    <row r="88" spans="1:5" ht="25.5" x14ac:dyDescent="0.25">
      <c r="A88" s="5" t="s">
        <v>12</v>
      </c>
      <c r="B88" s="9" t="s">
        <v>46</v>
      </c>
      <c r="C88" s="17">
        <f>C56*C87</f>
        <v>7.7388888888888906E-3</v>
      </c>
      <c r="D88" s="6">
        <f t="shared" si="1"/>
        <v>13.054654277777784</v>
      </c>
      <c r="E88" s="44" t="s">
        <v>152</v>
      </c>
    </row>
    <row r="89" spans="1:5" ht="16.5" customHeight="1" x14ac:dyDescent="0.25">
      <c r="A89" s="5" t="s">
        <v>29</v>
      </c>
      <c r="B89" s="9"/>
      <c r="C89" s="17"/>
      <c r="D89" s="6">
        <f t="shared" si="1"/>
        <v>0</v>
      </c>
      <c r="E89" s="44"/>
    </row>
    <row r="90" spans="1:5" x14ac:dyDescent="0.25">
      <c r="A90" s="31" t="s">
        <v>15</v>
      </c>
      <c r="B90" s="31"/>
      <c r="C90" s="10"/>
      <c r="D90" s="10">
        <f>SUM(D84:D89)</f>
        <v>120.92189816666669</v>
      </c>
      <c r="E90" s="44"/>
    </row>
    <row r="93" spans="1:5" x14ac:dyDescent="0.25">
      <c r="A93" s="189" t="s">
        <v>47</v>
      </c>
      <c r="B93" s="189"/>
      <c r="C93" s="189"/>
      <c r="D93" s="189"/>
      <c r="E93" s="189"/>
    </row>
    <row r="95" spans="1:5" x14ac:dyDescent="0.25">
      <c r="A95" s="189" t="s">
        <v>48</v>
      </c>
      <c r="B95" s="189"/>
      <c r="C95" s="189"/>
      <c r="D95" s="189"/>
      <c r="E95" s="189"/>
    </row>
    <row r="96" spans="1:5" x14ac:dyDescent="0.25">
      <c r="A96" s="2"/>
    </row>
    <row r="97" spans="1:5" x14ac:dyDescent="0.25">
      <c r="A97" s="31" t="s">
        <v>49</v>
      </c>
      <c r="B97" s="31" t="s">
        <v>50</v>
      </c>
      <c r="C97" s="31" t="s">
        <v>24</v>
      </c>
      <c r="D97" s="31" t="s">
        <v>3</v>
      </c>
      <c r="E97" s="31" t="s">
        <v>129</v>
      </c>
    </row>
    <row r="98" spans="1:5" x14ac:dyDescent="0.25">
      <c r="A98" s="5" t="s">
        <v>4</v>
      </c>
      <c r="B98" s="7" t="s">
        <v>51</v>
      </c>
      <c r="C98" s="16">
        <f>IF($C$40&gt;0,0,1/12)</f>
        <v>0</v>
      </c>
      <c r="D98" s="6">
        <f t="shared" ref="D98:D103" si="2">($D$31+$D$78+$D$90)*C98</f>
        <v>0</v>
      </c>
      <c r="E98" s="22" t="s">
        <v>143</v>
      </c>
    </row>
    <row r="99" spans="1:5" x14ac:dyDescent="0.25">
      <c r="A99" s="5" t="s">
        <v>6</v>
      </c>
      <c r="B99" s="7" t="s">
        <v>50</v>
      </c>
      <c r="C99" s="16">
        <f>(100%/30)*1.4947/12</f>
        <v>4.1519444444444442E-3</v>
      </c>
      <c r="D99" s="6">
        <f t="shared" si="2"/>
        <v>14.633707218676992</v>
      </c>
      <c r="E99" s="7" t="s">
        <v>145</v>
      </c>
    </row>
    <row r="100" spans="1:5" x14ac:dyDescent="0.25">
      <c r="A100" s="5" t="s">
        <v>8</v>
      </c>
      <c r="B100" s="7" t="s">
        <v>52</v>
      </c>
      <c r="C100" s="16">
        <f>5/360*1.416%</f>
        <v>1.9666666666666663E-4</v>
      </c>
      <c r="D100" s="6">
        <f t="shared" si="2"/>
        <v>0.6931601465727778</v>
      </c>
      <c r="E100" s="7" t="s">
        <v>146</v>
      </c>
    </row>
    <row r="101" spans="1:5" x14ac:dyDescent="0.25">
      <c r="A101" s="5" t="s">
        <v>10</v>
      </c>
      <c r="B101" s="7" t="s">
        <v>53</v>
      </c>
      <c r="C101" s="16">
        <f>(100%/30)*15/12*(582507/69481633)</f>
        <v>3.4931713536439187E-4</v>
      </c>
      <c r="D101" s="6">
        <f t="shared" si="2"/>
        <v>1.2311833055062615</v>
      </c>
      <c r="E101" s="54" t="s">
        <v>147</v>
      </c>
    </row>
    <row r="102" spans="1:5" x14ac:dyDescent="0.25">
      <c r="A102" s="5" t="s">
        <v>12</v>
      </c>
      <c r="B102" s="7" t="s">
        <v>54</v>
      </c>
      <c r="C102" s="16">
        <f>4/12*(8.33%+8.33%+2.78%)*1.416%</f>
        <v>9.175679999999999E-4</v>
      </c>
      <c r="D102" s="6">
        <f t="shared" si="2"/>
        <v>3.2340079798499524</v>
      </c>
      <c r="E102" s="44" t="s">
        <v>148</v>
      </c>
    </row>
    <row r="103" spans="1:5" x14ac:dyDescent="0.25">
      <c r="A103" s="5" t="s">
        <v>29</v>
      </c>
      <c r="B103" s="7" t="s">
        <v>154</v>
      </c>
      <c r="C103" s="16">
        <f>(1462463/54796761)/12</f>
        <v>2.2240715407734896E-3</v>
      </c>
      <c r="D103" s="6">
        <f t="shared" si="2"/>
        <v>7.8388360433435391</v>
      </c>
      <c r="E103" s="44"/>
    </row>
    <row r="104" spans="1:5" x14ac:dyDescent="0.25">
      <c r="A104" s="194" t="s">
        <v>34</v>
      </c>
      <c r="B104" s="195"/>
      <c r="C104" s="196"/>
      <c r="D104" s="10">
        <f>SUM(D98:D103)</f>
        <v>27.630894693949521</v>
      </c>
      <c r="E104" s="22"/>
    </row>
    <row r="107" spans="1:5" x14ac:dyDescent="0.25">
      <c r="A107" s="189" t="s">
        <v>55</v>
      </c>
      <c r="B107" s="189"/>
      <c r="C107" s="189"/>
      <c r="D107" s="189"/>
      <c r="E107" s="189"/>
    </row>
    <row r="108" spans="1:5" x14ac:dyDescent="0.25">
      <c r="A108" s="2"/>
    </row>
    <row r="109" spans="1:5" x14ac:dyDescent="0.25">
      <c r="A109" s="31" t="s">
        <v>56</v>
      </c>
      <c r="B109" s="194" t="s">
        <v>57</v>
      </c>
      <c r="C109" s="196"/>
      <c r="D109" s="31" t="s">
        <v>3</v>
      </c>
      <c r="E109" s="31" t="s">
        <v>129</v>
      </c>
    </row>
    <row r="110" spans="1:5" x14ac:dyDescent="0.25">
      <c r="A110" s="5" t="s">
        <v>4</v>
      </c>
      <c r="B110" s="197" t="s">
        <v>58</v>
      </c>
      <c r="C110" s="198"/>
      <c r="D110" s="6"/>
      <c r="E110" s="22"/>
    </row>
    <row r="111" spans="1:5" x14ac:dyDescent="0.25">
      <c r="A111" s="194" t="s">
        <v>15</v>
      </c>
      <c r="B111" s="195"/>
      <c r="C111" s="196"/>
      <c r="D111" s="6">
        <f>D110</f>
        <v>0</v>
      </c>
      <c r="E111" s="22"/>
    </row>
    <row r="114" spans="1:5" x14ac:dyDescent="0.25">
      <c r="A114" s="189" t="s">
        <v>59</v>
      </c>
      <c r="B114" s="189"/>
      <c r="C114" s="189"/>
      <c r="D114" s="189"/>
      <c r="E114" s="189"/>
    </row>
    <row r="115" spans="1:5" x14ac:dyDescent="0.25">
      <c r="A115" s="2"/>
    </row>
    <row r="116" spans="1:5" x14ac:dyDescent="0.25">
      <c r="A116" s="31">
        <v>4</v>
      </c>
      <c r="B116" s="55" t="s">
        <v>60</v>
      </c>
      <c r="C116" s="56"/>
      <c r="D116" s="31" t="s">
        <v>3</v>
      </c>
      <c r="E116" s="31" t="s">
        <v>90</v>
      </c>
    </row>
    <row r="117" spans="1:5" x14ac:dyDescent="0.25">
      <c r="A117" s="5" t="s">
        <v>49</v>
      </c>
      <c r="B117" s="57" t="s">
        <v>50</v>
      </c>
      <c r="C117" s="58"/>
      <c r="D117" s="6">
        <f>D104</f>
        <v>27.630894693949521</v>
      </c>
      <c r="E117" s="22"/>
    </row>
    <row r="118" spans="1:5" x14ac:dyDescent="0.25">
      <c r="A118" s="5" t="s">
        <v>56</v>
      </c>
      <c r="B118" s="57" t="s">
        <v>57</v>
      </c>
      <c r="C118" s="58"/>
      <c r="D118" s="6">
        <f>D111</f>
        <v>0</v>
      </c>
      <c r="E118" s="22"/>
    </row>
    <row r="119" spans="1:5" x14ac:dyDescent="0.25">
      <c r="A119" s="194" t="s">
        <v>15</v>
      </c>
      <c r="B119" s="195"/>
      <c r="C119" s="196"/>
      <c r="D119" s="10">
        <f>SUM(D117:D118)</f>
        <v>27.630894693949521</v>
      </c>
      <c r="E119" s="22"/>
    </row>
    <row r="122" spans="1:5" x14ac:dyDescent="0.25">
      <c r="A122" s="189" t="s">
        <v>61</v>
      </c>
      <c r="B122" s="189"/>
      <c r="C122" s="189"/>
      <c r="D122" s="189"/>
      <c r="E122" s="189"/>
    </row>
    <row r="124" spans="1:5" x14ac:dyDescent="0.25">
      <c r="A124" s="31">
        <v>5</v>
      </c>
      <c r="B124" s="55" t="s">
        <v>62</v>
      </c>
      <c r="C124" s="56"/>
      <c r="D124" s="31" t="s">
        <v>3</v>
      </c>
      <c r="E124" s="31" t="s">
        <v>90</v>
      </c>
    </row>
    <row r="125" spans="1:5" x14ac:dyDescent="0.25">
      <c r="A125" s="5" t="s">
        <v>4</v>
      </c>
      <c r="B125" s="57" t="s">
        <v>63</v>
      </c>
      <c r="C125" s="58"/>
      <c r="D125" s="6">
        <f>SUMIFS(Uniformes!G:G,Uniformes!H:H,Copeira!$C$18)</f>
        <v>0</v>
      </c>
      <c r="E125" s="44" t="s">
        <v>190</v>
      </c>
    </row>
    <row r="126" spans="1:5" x14ac:dyDescent="0.25">
      <c r="A126" s="5" t="s">
        <v>6</v>
      </c>
      <c r="B126" s="57" t="s">
        <v>64</v>
      </c>
      <c r="C126" s="58"/>
      <c r="D126" s="6">
        <f>SUMIFS(Materiais!H:H,Materiais!I:I,Copeira!C18)</f>
        <v>0</v>
      </c>
      <c r="E126" s="44" t="s">
        <v>190</v>
      </c>
    </row>
    <row r="127" spans="1:5" x14ac:dyDescent="0.25">
      <c r="A127" s="5" t="s">
        <v>8</v>
      </c>
      <c r="B127" s="57" t="s">
        <v>65</v>
      </c>
      <c r="C127" s="58"/>
      <c r="D127" s="6">
        <f>IFERROR(SUMIFS(Equipamentos!J:J,Equipamentos!K:K,Copeira!$C$18)/SUM(Resumo!H5:H9),0)</f>
        <v>0</v>
      </c>
      <c r="E127" s="44" t="s">
        <v>194</v>
      </c>
    </row>
    <row r="128" spans="1:5" x14ac:dyDescent="0.25">
      <c r="A128" s="5" t="s">
        <v>10</v>
      </c>
      <c r="B128" s="57" t="s">
        <v>155</v>
      </c>
      <c r="C128" s="58"/>
      <c r="D128" s="6">
        <f>SUMIFS(EPIs!G:G,EPIs!H:H,Copeira!$C$18)</f>
        <v>0</v>
      </c>
      <c r="E128" s="22"/>
    </row>
    <row r="129" spans="1:5" x14ac:dyDescent="0.25">
      <c r="A129" s="194" t="s">
        <v>34</v>
      </c>
      <c r="B129" s="195"/>
      <c r="C129" s="196"/>
      <c r="D129" s="10">
        <f>SUM(D125:D128)</f>
        <v>0</v>
      </c>
      <c r="E129" s="22"/>
    </row>
    <row r="132" spans="1:5" x14ac:dyDescent="0.25">
      <c r="A132" s="189" t="s">
        <v>66</v>
      </c>
      <c r="B132" s="189"/>
      <c r="C132" s="189"/>
      <c r="D132" s="189"/>
      <c r="E132" s="189"/>
    </row>
    <row r="134" spans="1:5" x14ac:dyDescent="0.25">
      <c r="A134" s="31">
        <v>6</v>
      </c>
      <c r="B134" s="11" t="s">
        <v>67</v>
      </c>
      <c r="C134" s="31" t="s">
        <v>24</v>
      </c>
      <c r="D134" s="31" t="s">
        <v>3</v>
      </c>
      <c r="E134" s="31" t="s">
        <v>129</v>
      </c>
    </row>
    <row r="135" spans="1:5" x14ac:dyDescent="0.25">
      <c r="A135" s="5" t="s">
        <v>4</v>
      </c>
      <c r="B135" s="7" t="s">
        <v>68</v>
      </c>
      <c r="C135" s="13">
        <v>0.05</v>
      </c>
      <c r="D135" s="6">
        <f>(D31+D78+D90+D119+D129)*C135</f>
        <v>177.60870064303083</v>
      </c>
      <c r="E135" s="44"/>
    </row>
    <row r="136" spans="1:5" x14ac:dyDescent="0.25">
      <c r="A136" s="5" t="s">
        <v>6</v>
      </c>
      <c r="B136" s="7" t="s">
        <v>69</v>
      </c>
      <c r="C136" s="13">
        <v>0.1</v>
      </c>
      <c r="D136" s="6">
        <f>(D31+D78+D90+D119+D129+D135)*C136</f>
        <v>372.97827135036476</v>
      </c>
      <c r="E136" s="44"/>
    </row>
    <row r="137" spans="1:5" x14ac:dyDescent="0.25">
      <c r="A137" s="5" t="s">
        <v>8</v>
      </c>
      <c r="B137" s="7" t="s">
        <v>118</v>
      </c>
      <c r="C137" s="13">
        <f>C139+C140+C143</f>
        <v>9.2499999999999999E-2</v>
      </c>
      <c r="D137" s="6">
        <f>SUM(D138:D143)</f>
        <v>418.18775878677263</v>
      </c>
      <c r="E137" s="44"/>
    </row>
    <row r="138" spans="1:5" ht="15.75" hidden="1" customHeight="1" x14ac:dyDescent="0.25">
      <c r="A138" s="5"/>
      <c r="B138" s="7" t="s">
        <v>70</v>
      </c>
      <c r="C138" s="12"/>
      <c r="D138" s="6"/>
      <c r="E138" s="44"/>
    </row>
    <row r="139" spans="1:5" x14ac:dyDescent="0.25">
      <c r="A139" s="5"/>
      <c r="B139" s="19" t="s">
        <v>87</v>
      </c>
      <c r="C139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39" s="6">
        <f>(($D$31+$D$78+$D$90+$D$119+$D$129+$D$135+$D$136)/(1-$C$137))*C139</f>
        <v>74.595654270072956</v>
      </c>
      <c r="E139" s="44"/>
    </row>
    <row r="140" spans="1:5" x14ac:dyDescent="0.25">
      <c r="A140" s="5"/>
      <c r="B140" s="19" t="s">
        <v>88</v>
      </c>
      <c r="C140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0" s="6">
        <f>(($D$31+$D$78+$D$90+$D$119+$D$129+$D$135+$D$136)/(1-$C$137))*C140</f>
        <v>343.59210451669969</v>
      </c>
      <c r="E140" s="44"/>
    </row>
    <row r="141" spans="1:5" ht="15.75" hidden="1" customHeight="1" x14ac:dyDescent="0.25">
      <c r="A141" s="5"/>
      <c r="B141" s="7" t="s">
        <v>71</v>
      </c>
      <c r="C141" s="12"/>
      <c r="D141" s="6">
        <f>(($D$31+$D$78+$D$90+$D$119+$D$129+$D$135+$D$136)/(1-$C$137))*C141</f>
        <v>0</v>
      </c>
      <c r="E141" s="44"/>
    </row>
    <row r="142" spans="1:5" hidden="1" x14ac:dyDescent="0.25">
      <c r="A142" s="5"/>
      <c r="B142" s="7" t="s">
        <v>72</v>
      </c>
      <c r="C142" s="12"/>
      <c r="D142" s="6">
        <f>(($D$31+$D$78+$D$90+$D$119+$D$129+$D$135+$D$136)/(1-$C$137))*C142</f>
        <v>0</v>
      </c>
      <c r="E142" s="44"/>
    </row>
    <row r="143" spans="1:5" x14ac:dyDescent="0.25">
      <c r="A143" s="5"/>
      <c r="B143" s="19" t="s">
        <v>89</v>
      </c>
      <c r="C143" s="13">
        <f>IF(Informações!$B$4="Simples Nacional",'Tributos - Simples'!$B$8/100,IF(Informações!$B$4="Lucro Presumido",Informações!$B$4,IF(Informações!$B$4="Lucro Real",$G$4)))</f>
        <v>0</v>
      </c>
      <c r="D143" s="6">
        <f>(($D$31+$D$78+$D$90+$D$119+$D$129+$D$135+$D$136)/(1-$C$137))*C143</f>
        <v>0</v>
      </c>
      <c r="E143" s="44"/>
    </row>
    <row r="144" spans="1:5" x14ac:dyDescent="0.25">
      <c r="A144" s="31" t="s">
        <v>34</v>
      </c>
      <c r="B144" s="31"/>
      <c r="C144" s="10"/>
      <c r="D144" s="10">
        <f>D135+D136+D137</f>
        <v>968.77473078016817</v>
      </c>
      <c r="E144" s="22"/>
    </row>
    <row r="147" spans="1:5" x14ac:dyDescent="0.25">
      <c r="A147" s="189" t="s">
        <v>73</v>
      </c>
      <c r="B147" s="189"/>
      <c r="C147" s="189"/>
      <c r="D147" s="189"/>
      <c r="E147" s="189"/>
    </row>
    <row r="149" spans="1:5" x14ac:dyDescent="0.25">
      <c r="A149" s="31"/>
      <c r="B149" s="55" t="s">
        <v>74</v>
      </c>
      <c r="C149" s="56"/>
      <c r="D149" s="31" t="s">
        <v>3</v>
      </c>
      <c r="E149" s="31" t="s">
        <v>90</v>
      </c>
    </row>
    <row r="150" spans="1:5" x14ac:dyDescent="0.25">
      <c r="A150" s="5" t="s">
        <v>4</v>
      </c>
      <c r="B150" s="57" t="s">
        <v>1</v>
      </c>
      <c r="C150" s="58"/>
      <c r="D150" s="6">
        <f>D31</f>
        <v>1412.2800000000002</v>
      </c>
      <c r="E150" s="22"/>
    </row>
    <row r="151" spans="1:5" x14ac:dyDescent="0.25">
      <c r="A151" s="5" t="s">
        <v>6</v>
      </c>
      <c r="B151" s="57" t="s">
        <v>16</v>
      </c>
      <c r="C151" s="58"/>
      <c r="D151" s="6">
        <f>D78</f>
        <v>1991.3412200000002</v>
      </c>
      <c r="E151" s="22"/>
    </row>
    <row r="152" spans="1:5" x14ac:dyDescent="0.25">
      <c r="A152" s="5" t="s">
        <v>8</v>
      </c>
      <c r="B152" s="57" t="s">
        <v>41</v>
      </c>
      <c r="C152" s="58"/>
      <c r="D152" s="6">
        <f>D90</f>
        <v>120.92189816666669</v>
      </c>
      <c r="E152" s="22"/>
    </row>
    <row r="153" spans="1:5" x14ac:dyDescent="0.25">
      <c r="A153" s="5" t="s">
        <v>10</v>
      </c>
      <c r="B153" s="57" t="s">
        <v>47</v>
      </c>
      <c r="C153" s="40"/>
      <c r="D153" s="6">
        <f>D119</f>
        <v>27.630894693949521</v>
      </c>
      <c r="E153" s="22"/>
    </row>
    <row r="154" spans="1:5" x14ac:dyDescent="0.25">
      <c r="A154" s="5" t="s">
        <v>12</v>
      </c>
      <c r="B154" s="57" t="s">
        <v>61</v>
      </c>
      <c r="C154" s="40"/>
      <c r="D154" s="6">
        <f>D129</f>
        <v>0</v>
      </c>
      <c r="E154" s="22"/>
    </row>
    <row r="155" spans="1:5" ht="15.75" customHeight="1" x14ac:dyDescent="0.25">
      <c r="A155" s="194" t="s">
        <v>75</v>
      </c>
      <c r="B155" s="195"/>
      <c r="C155" s="196"/>
      <c r="D155" s="10">
        <f>SUM(D150:D154)</f>
        <v>3552.1740128606166</v>
      </c>
      <c r="E155" s="22"/>
    </row>
    <row r="156" spans="1:5" x14ac:dyDescent="0.25">
      <c r="A156" s="23" t="s">
        <v>29</v>
      </c>
      <c r="B156" s="57" t="s">
        <v>76</v>
      </c>
      <c r="C156" s="40"/>
      <c r="D156" s="6">
        <f>D144</f>
        <v>968.77473078016817</v>
      </c>
      <c r="E156" s="22"/>
    </row>
    <row r="157" spans="1:5" ht="15.75" customHeight="1" x14ac:dyDescent="0.25">
      <c r="A157" s="194" t="s">
        <v>77</v>
      </c>
      <c r="B157" s="195"/>
      <c r="C157" s="196"/>
      <c r="D157" s="10">
        <f>D155+D156</f>
        <v>4520.9487436407844</v>
      </c>
      <c r="E157" s="22"/>
    </row>
    <row r="158" spans="1:5" ht="15.75" customHeight="1" x14ac:dyDescent="0.25">
      <c r="A158" s="194" t="s">
        <v>83</v>
      </c>
      <c r="B158" s="195"/>
      <c r="C158" s="196"/>
      <c r="D158" s="10">
        <f>D157*$E$12</f>
        <v>0</v>
      </c>
      <c r="E158" s="22"/>
    </row>
    <row r="159" spans="1:5" ht="15.75" customHeight="1" x14ac:dyDescent="0.25">
      <c r="A159" s="194" t="s">
        <v>84</v>
      </c>
      <c r="B159" s="195"/>
      <c r="C159" s="196"/>
      <c r="D159" s="10">
        <f>D158*12</f>
        <v>0</v>
      </c>
      <c r="E159" s="22"/>
    </row>
  </sheetData>
  <mergeCells count="54">
    <mergeCell ref="A9:D9"/>
    <mergeCell ref="A1:E1"/>
    <mergeCell ref="C5:D5"/>
    <mergeCell ref="C6:D6"/>
    <mergeCell ref="C7:D7"/>
    <mergeCell ref="C8:D8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A159:C159"/>
    <mergeCell ref="B110:C110"/>
    <mergeCell ref="A111:C111"/>
    <mergeCell ref="A114:E114"/>
    <mergeCell ref="A119:C119"/>
    <mergeCell ref="A122:E122"/>
    <mergeCell ref="A129:C129"/>
    <mergeCell ref="A132:E132"/>
    <mergeCell ref="A147:E147"/>
    <mergeCell ref="A155:C155"/>
    <mergeCell ref="A157:C157"/>
    <mergeCell ref="A158:C15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2" orientation="landscape" verticalDpi="300" r:id="rId1"/>
  <rowBreaks count="5" manualBreakCount="5">
    <brk id="33" max="6" man="1"/>
    <brk id="58" max="6" man="1"/>
    <brk id="90" max="6" man="1"/>
    <brk id="121" max="6" man="1"/>
    <brk id="146" max="6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showGridLines="0" topLeftCell="A106" zoomScaleNormal="100" workbookViewId="0">
      <selection activeCell="C145" sqref="C145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9" x14ac:dyDescent="0.25">
      <c r="A1" s="189" t="s">
        <v>0</v>
      </c>
      <c r="B1" s="189"/>
      <c r="C1" s="189"/>
      <c r="D1" s="189"/>
      <c r="E1" s="189"/>
      <c r="I1" s="45"/>
    </row>
    <row r="2" spans="1:9" x14ac:dyDescent="0.25">
      <c r="A2" s="60" t="s">
        <v>107</v>
      </c>
      <c r="B2" s="60"/>
      <c r="G2" s="88"/>
      <c r="H2" s="15"/>
    </row>
    <row r="3" spans="1:9" x14ac:dyDescent="0.25">
      <c r="A3" s="22" t="s">
        <v>108</v>
      </c>
      <c r="B3" s="22"/>
      <c r="G3" s="87"/>
      <c r="H3" s="15"/>
    </row>
    <row r="4" spans="1:9" x14ac:dyDescent="0.25">
      <c r="A4" s="14"/>
      <c r="B4" s="14"/>
      <c r="H4" s="15"/>
    </row>
    <row r="5" spans="1:9" x14ac:dyDescent="0.25">
      <c r="A5" s="5" t="s">
        <v>4</v>
      </c>
      <c r="B5" s="137" t="s">
        <v>109</v>
      </c>
      <c r="C5" s="206"/>
      <c r="D5" s="207"/>
      <c r="H5" s="15"/>
    </row>
    <row r="6" spans="1:9" x14ac:dyDescent="0.25">
      <c r="A6" s="5" t="s">
        <v>6</v>
      </c>
      <c r="B6" s="137" t="s">
        <v>110</v>
      </c>
      <c r="C6" s="207"/>
      <c r="D6" s="207"/>
      <c r="H6" s="15"/>
    </row>
    <row r="7" spans="1:9" ht="25.5" x14ac:dyDescent="0.25">
      <c r="A7" s="5" t="s">
        <v>8</v>
      </c>
      <c r="B7" s="137" t="s">
        <v>111</v>
      </c>
      <c r="C7" s="207"/>
      <c r="D7" s="207"/>
      <c r="H7" s="15"/>
    </row>
    <row r="8" spans="1:9" x14ac:dyDescent="0.25">
      <c r="A8" s="5" t="s">
        <v>10</v>
      </c>
      <c r="B8" s="137" t="s">
        <v>112</v>
      </c>
      <c r="C8" s="207"/>
      <c r="D8" s="207"/>
      <c r="H8" s="15"/>
    </row>
    <row r="9" spans="1:9" x14ac:dyDescent="0.25">
      <c r="A9" s="205"/>
      <c r="B9" s="205"/>
      <c r="C9" s="205"/>
      <c r="D9" s="205"/>
      <c r="E9" s="136"/>
    </row>
    <row r="10" spans="1:9" x14ac:dyDescent="0.25">
      <c r="A10" s="189" t="s">
        <v>78</v>
      </c>
      <c r="B10" s="189"/>
      <c r="C10" s="189"/>
      <c r="D10" s="189"/>
      <c r="E10" s="189"/>
    </row>
    <row r="11" spans="1:9" ht="25.5" customHeight="1" x14ac:dyDescent="0.25">
      <c r="A11" s="199" t="s">
        <v>79</v>
      </c>
      <c r="B11" s="199"/>
      <c r="C11" s="86" t="s">
        <v>80</v>
      </c>
      <c r="D11" s="86" t="s">
        <v>81</v>
      </c>
      <c r="E11" s="86" t="s">
        <v>189</v>
      </c>
    </row>
    <row r="12" spans="1:9" ht="15.75" customHeight="1" x14ac:dyDescent="0.25">
      <c r="A12" s="200" t="s">
        <v>104</v>
      </c>
      <c r="B12" s="200"/>
      <c r="C12" s="202" t="s">
        <v>82</v>
      </c>
      <c r="D12" s="202"/>
      <c r="E12" s="202"/>
    </row>
    <row r="13" spans="1:9" x14ac:dyDescent="0.25">
      <c r="A13" s="201"/>
      <c r="B13" s="201"/>
      <c r="C13" s="203"/>
      <c r="D13" s="203"/>
      <c r="E13" s="203"/>
    </row>
    <row r="14" spans="1:9" x14ac:dyDescent="0.25">
      <c r="A14" s="4"/>
      <c r="B14" s="4"/>
      <c r="C14" s="4"/>
      <c r="D14" s="4"/>
      <c r="E14" s="4"/>
    </row>
    <row r="15" spans="1:9" x14ac:dyDescent="0.25">
      <c r="A15" s="135">
        <v>1</v>
      </c>
      <c r="B15" s="37" t="s">
        <v>113</v>
      </c>
      <c r="C15" s="204" t="s">
        <v>104</v>
      </c>
      <c r="D15" s="204"/>
      <c r="E15" s="204"/>
      <c r="F15" s="36"/>
    </row>
    <row r="16" spans="1:9" x14ac:dyDescent="0.25">
      <c r="A16" s="135">
        <v>2</v>
      </c>
      <c r="B16" s="37" t="s">
        <v>114</v>
      </c>
      <c r="C16" s="204"/>
      <c r="D16" s="204"/>
      <c r="E16" s="204"/>
      <c r="F16" s="36"/>
    </row>
    <row r="17" spans="1:6" x14ac:dyDescent="0.25">
      <c r="A17" s="135">
        <v>3</v>
      </c>
      <c r="B17" s="37" t="s">
        <v>115</v>
      </c>
      <c r="C17" s="214">
        <f>$D$25+$D$30</f>
        <v>1502.31</v>
      </c>
      <c r="D17" s="204"/>
      <c r="E17" s="204"/>
      <c r="F17" s="36"/>
    </row>
    <row r="18" spans="1:6" x14ac:dyDescent="0.25">
      <c r="A18" s="135">
        <v>4</v>
      </c>
      <c r="B18" s="37" t="s">
        <v>116</v>
      </c>
      <c r="C18" s="204" t="s">
        <v>158</v>
      </c>
      <c r="D18" s="204"/>
      <c r="E18" s="204"/>
      <c r="F18" s="36"/>
    </row>
    <row r="19" spans="1:6" x14ac:dyDescent="0.25">
      <c r="A19" s="135">
        <v>5</v>
      </c>
      <c r="B19" s="37" t="s">
        <v>117</v>
      </c>
      <c r="C19" s="204"/>
      <c r="D19" s="204"/>
      <c r="E19" s="204"/>
      <c r="F19" s="36"/>
    </row>
    <row r="20" spans="1:6" x14ac:dyDescent="0.25">
      <c r="A20" s="4"/>
      <c r="B20" s="4"/>
      <c r="C20" s="4"/>
      <c r="D20" s="4"/>
      <c r="E20" s="4"/>
    </row>
    <row r="22" spans="1:6" x14ac:dyDescent="0.25">
      <c r="A22" s="189" t="s">
        <v>1</v>
      </c>
      <c r="B22" s="189"/>
      <c r="C22" s="189"/>
      <c r="D22" s="189"/>
      <c r="E22" s="189"/>
    </row>
    <row r="24" spans="1:6" ht="25.5" customHeight="1" x14ac:dyDescent="0.25">
      <c r="A24" s="31">
        <v>1</v>
      </c>
      <c r="B24" s="133" t="s">
        <v>2</v>
      </c>
      <c r="C24" s="31" t="s">
        <v>24</v>
      </c>
      <c r="D24" s="31" t="s">
        <v>3</v>
      </c>
      <c r="E24" s="31" t="s">
        <v>129</v>
      </c>
    </row>
    <row r="25" spans="1:6" x14ac:dyDescent="0.25">
      <c r="A25" s="5" t="s">
        <v>4</v>
      </c>
      <c r="B25" s="137" t="s">
        <v>5</v>
      </c>
      <c r="C25" s="13"/>
      <c r="D25" s="6">
        <f>Jardineiro!D25</f>
        <v>1459.21</v>
      </c>
      <c r="E25" s="22" t="s">
        <v>140</v>
      </c>
    </row>
    <row r="26" spans="1:6" x14ac:dyDescent="0.25">
      <c r="A26" s="5" t="s">
        <v>6</v>
      </c>
      <c r="B26" s="137" t="s">
        <v>7</v>
      </c>
      <c r="C26" s="13">
        <v>0</v>
      </c>
      <c r="D26" s="6">
        <f>Jardineiro!D26</f>
        <v>0</v>
      </c>
      <c r="E26" s="22" t="s">
        <v>140</v>
      </c>
    </row>
    <row r="27" spans="1:6" x14ac:dyDescent="0.25">
      <c r="A27" s="5" t="s">
        <v>8</v>
      </c>
      <c r="B27" s="137" t="s">
        <v>9</v>
      </c>
      <c r="C27" s="13">
        <v>0</v>
      </c>
      <c r="D27" s="6">
        <f>Jardineiro!D27</f>
        <v>0</v>
      </c>
      <c r="E27" s="22" t="s">
        <v>140</v>
      </c>
    </row>
    <row r="28" spans="1:6" x14ac:dyDescent="0.25">
      <c r="A28" s="5" t="s">
        <v>10</v>
      </c>
      <c r="B28" s="137" t="s">
        <v>11</v>
      </c>
      <c r="C28" s="13"/>
      <c r="D28" s="6">
        <f>Jardineiro!D28</f>
        <v>0</v>
      </c>
      <c r="E28" s="22" t="s">
        <v>140</v>
      </c>
    </row>
    <row r="29" spans="1:6" x14ac:dyDescent="0.25">
      <c r="A29" s="5" t="s">
        <v>12</v>
      </c>
      <c r="B29" s="137" t="s">
        <v>13</v>
      </c>
      <c r="C29" s="13"/>
      <c r="D29" s="6">
        <f>Jardineiro!D29</f>
        <v>0</v>
      </c>
      <c r="E29" s="22" t="s">
        <v>140</v>
      </c>
    </row>
    <row r="30" spans="1:6" x14ac:dyDescent="0.25">
      <c r="A30" s="5" t="s">
        <v>14</v>
      </c>
      <c r="B30" s="137" t="s">
        <v>105</v>
      </c>
      <c r="C30" s="13"/>
      <c r="D30" s="6">
        <f>Jardineiro!D30</f>
        <v>43.1</v>
      </c>
      <c r="E30" s="22" t="s">
        <v>140</v>
      </c>
    </row>
    <row r="31" spans="1:6" x14ac:dyDescent="0.25">
      <c r="A31" s="5" t="s">
        <v>14</v>
      </c>
      <c r="B31" s="137" t="s">
        <v>192</v>
      </c>
      <c r="C31" s="13"/>
      <c r="D31" s="6">
        <f>Jardineiro!D31</f>
        <v>0</v>
      </c>
      <c r="E31" s="22" t="s">
        <v>140</v>
      </c>
    </row>
    <row r="32" spans="1:6" x14ac:dyDescent="0.25">
      <c r="A32" s="194" t="s">
        <v>15</v>
      </c>
      <c r="B32" s="196"/>
      <c r="C32" s="10"/>
      <c r="D32" s="10">
        <f>SUM(D25:D31)</f>
        <v>1502.31</v>
      </c>
      <c r="E32" s="10"/>
    </row>
    <row r="35" spans="1:5" x14ac:dyDescent="0.25">
      <c r="A35" s="189" t="s">
        <v>16</v>
      </c>
      <c r="B35" s="189"/>
      <c r="C35" s="189"/>
      <c r="D35" s="189"/>
      <c r="E35" s="189"/>
    </row>
    <row r="36" spans="1:5" x14ac:dyDescent="0.25">
      <c r="A36" s="2"/>
    </row>
    <row r="37" spans="1:5" x14ac:dyDescent="0.25">
      <c r="A37" s="189" t="s">
        <v>17</v>
      </c>
      <c r="B37" s="189"/>
      <c r="C37" s="189"/>
      <c r="D37" s="189"/>
      <c r="E37" s="189"/>
    </row>
    <row r="39" spans="1:5" x14ac:dyDescent="0.25">
      <c r="A39" s="31" t="s">
        <v>18</v>
      </c>
      <c r="B39" s="31" t="s">
        <v>19</v>
      </c>
      <c r="C39" s="31" t="s">
        <v>24</v>
      </c>
      <c r="D39" s="31" t="s">
        <v>3</v>
      </c>
      <c r="E39" s="31" t="s">
        <v>129</v>
      </c>
    </row>
    <row r="40" spans="1:5" x14ac:dyDescent="0.25">
      <c r="A40" s="5" t="s">
        <v>4</v>
      </c>
      <c r="B40" s="7" t="s">
        <v>20</v>
      </c>
      <c r="C40" s="13">
        <f>1/12</f>
        <v>8.3333333333333329E-2</v>
      </c>
      <c r="D40" s="6">
        <f>$D$32*C40</f>
        <v>125.1925</v>
      </c>
      <c r="E40" s="22" t="s">
        <v>130</v>
      </c>
    </row>
    <row r="41" spans="1:5" x14ac:dyDescent="0.25">
      <c r="A41" s="5" t="s">
        <v>6</v>
      </c>
      <c r="B41" s="7" t="s">
        <v>51</v>
      </c>
      <c r="C41" s="13">
        <f>1/12</f>
        <v>8.3333333333333329E-2</v>
      </c>
      <c r="D41" s="6">
        <f>$D$32*C41</f>
        <v>125.1925</v>
      </c>
      <c r="E41" s="22" t="s">
        <v>150</v>
      </c>
    </row>
    <row r="42" spans="1:5" x14ac:dyDescent="0.25">
      <c r="A42" s="5" t="s">
        <v>8</v>
      </c>
      <c r="B42" s="7" t="s">
        <v>86</v>
      </c>
      <c r="C42" s="13">
        <f>1/12/3</f>
        <v>2.7777777777777776E-2</v>
      </c>
      <c r="D42" s="6">
        <f>$D$32*C42</f>
        <v>41.730833333333329</v>
      </c>
      <c r="E42" s="22" t="s">
        <v>143</v>
      </c>
    </row>
    <row r="43" spans="1:5" x14ac:dyDescent="0.25">
      <c r="A43" s="194" t="s">
        <v>15</v>
      </c>
      <c r="B43" s="196"/>
      <c r="C43" s="10"/>
      <c r="D43" s="10">
        <f>SUM(D40:D42)</f>
        <v>292.11583333333334</v>
      </c>
      <c r="E43" s="22"/>
    </row>
    <row r="44" spans="1:5" x14ac:dyDescent="0.25">
      <c r="D44" s="61"/>
    </row>
    <row r="46" spans="1:5" x14ac:dyDescent="0.25">
      <c r="A46" s="189" t="s">
        <v>21</v>
      </c>
      <c r="B46" s="189"/>
      <c r="C46" s="189"/>
      <c r="D46" s="189"/>
      <c r="E46" s="189"/>
    </row>
    <row r="48" spans="1:5" x14ac:dyDescent="0.25">
      <c r="A48" s="31" t="s">
        <v>22</v>
      </c>
      <c r="B48" s="31" t="s">
        <v>23</v>
      </c>
      <c r="C48" s="31" t="s">
        <v>24</v>
      </c>
      <c r="D48" s="31" t="s">
        <v>3</v>
      </c>
      <c r="E48" s="31" t="s">
        <v>129</v>
      </c>
    </row>
    <row r="49" spans="1:5" ht="38.25" x14ac:dyDescent="0.25">
      <c r="A49" s="5" t="s">
        <v>4</v>
      </c>
      <c r="B49" s="7" t="s">
        <v>25</v>
      </c>
      <c r="C49" s="8">
        <v>0.2</v>
      </c>
      <c r="D49" s="6">
        <f>($D$32+$D$43)*C49</f>
        <v>358.88516666666669</v>
      </c>
      <c r="E49" s="7" t="s">
        <v>131</v>
      </c>
    </row>
    <row r="50" spans="1:5" ht="25.5" x14ac:dyDescent="0.25">
      <c r="A50" s="5" t="s">
        <v>6</v>
      </c>
      <c r="B50" s="7" t="s">
        <v>26</v>
      </c>
      <c r="C50" s="8">
        <f>IF(Informações!$B$4="Simples Nacional",0,2.5%)</f>
        <v>2.5000000000000001E-2</v>
      </c>
      <c r="D50" s="6">
        <f t="shared" ref="D50:D56" si="0">($D$32+$D$43)*C50</f>
        <v>44.860645833333336</v>
      </c>
      <c r="E50" s="7" t="s">
        <v>132</v>
      </c>
    </row>
    <row r="51" spans="1:5" ht="25.5" x14ac:dyDescent="0.25">
      <c r="A51" s="5" t="s">
        <v>8</v>
      </c>
      <c r="B51" s="7" t="s">
        <v>134</v>
      </c>
      <c r="C51" s="33">
        <v>0.06</v>
      </c>
      <c r="D51" s="6">
        <f t="shared" si="0"/>
        <v>107.66555</v>
      </c>
      <c r="E51" s="7" t="s">
        <v>133</v>
      </c>
    </row>
    <row r="52" spans="1:5" x14ac:dyDescent="0.25">
      <c r="A52" s="5" t="s">
        <v>10</v>
      </c>
      <c r="B52" s="7" t="s">
        <v>27</v>
      </c>
      <c r="C52" s="8">
        <f>IF(Informações!$B$4="Simples Nacional",0,1.5%)</f>
        <v>1.4999999999999999E-2</v>
      </c>
      <c r="D52" s="6">
        <f t="shared" si="0"/>
        <v>26.916387499999999</v>
      </c>
      <c r="E52" s="7" t="s">
        <v>135</v>
      </c>
    </row>
    <row r="53" spans="1:5" ht="38.25" x14ac:dyDescent="0.25">
      <c r="A53" s="5" t="s">
        <v>12</v>
      </c>
      <c r="B53" s="7" t="s">
        <v>28</v>
      </c>
      <c r="C53" s="8">
        <f>IF(Informações!$B$4="Simples Nacional",0,1%)</f>
        <v>0.01</v>
      </c>
      <c r="D53" s="6">
        <f t="shared" si="0"/>
        <v>17.944258333333334</v>
      </c>
      <c r="E53" s="7" t="s">
        <v>136</v>
      </c>
    </row>
    <row r="54" spans="1:5" x14ac:dyDescent="0.25">
      <c r="A54" s="5" t="s">
        <v>29</v>
      </c>
      <c r="B54" s="7" t="s">
        <v>30</v>
      </c>
      <c r="C54" s="8">
        <f>IF(Informações!$B$4="Simples Nacional",0,0.6%)</f>
        <v>6.0000000000000001E-3</v>
      </c>
      <c r="D54" s="6">
        <f t="shared" si="0"/>
        <v>10.766555</v>
      </c>
      <c r="E54" s="7" t="s">
        <v>137</v>
      </c>
    </row>
    <row r="55" spans="1:5" ht="25.5" x14ac:dyDescent="0.25">
      <c r="A55" s="5" t="s">
        <v>14</v>
      </c>
      <c r="B55" s="7" t="s">
        <v>31</v>
      </c>
      <c r="C55" s="8">
        <f>IF(Informações!$B$4="Simples Nacional",0,0.2%)</f>
        <v>2E-3</v>
      </c>
      <c r="D55" s="6">
        <f t="shared" si="0"/>
        <v>3.5888516666666663</v>
      </c>
      <c r="E55" s="7" t="s">
        <v>138</v>
      </c>
    </row>
    <row r="56" spans="1:5" x14ac:dyDescent="0.25">
      <c r="A56" s="5" t="s">
        <v>32</v>
      </c>
      <c r="B56" s="7" t="s">
        <v>33</v>
      </c>
      <c r="C56" s="8">
        <v>0.08</v>
      </c>
      <c r="D56" s="6">
        <f t="shared" si="0"/>
        <v>143.55406666666667</v>
      </c>
      <c r="E56" s="7" t="s">
        <v>149</v>
      </c>
    </row>
    <row r="57" spans="1:5" x14ac:dyDescent="0.25">
      <c r="A57" s="194" t="s">
        <v>34</v>
      </c>
      <c r="B57" s="196"/>
      <c r="C57" s="42">
        <f>SUM(C49:C56)</f>
        <v>0.39800000000000008</v>
      </c>
      <c r="D57" s="10">
        <f>SUM(D49:D56)</f>
        <v>714.18148166666674</v>
      </c>
      <c r="E57" s="22"/>
    </row>
    <row r="60" spans="1:5" x14ac:dyDescent="0.25">
      <c r="A60" s="189" t="s">
        <v>35</v>
      </c>
      <c r="B60" s="189"/>
      <c r="C60" s="189"/>
      <c r="D60" s="189"/>
      <c r="E60" s="189"/>
    </row>
    <row r="62" spans="1:5" x14ac:dyDescent="0.25">
      <c r="A62" s="31" t="s">
        <v>36</v>
      </c>
      <c r="B62" s="194" t="s">
        <v>37</v>
      </c>
      <c r="C62" s="196"/>
      <c r="D62" s="31" t="s">
        <v>3</v>
      </c>
      <c r="E62" s="31" t="s">
        <v>129</v>
      </c>
    </row>
    <row r="63" spans="1:5" ht="64.5" x14ac:dyDescent="0.25">
      <c r="A63" s="5" t="s">
        <v>4</v>
      </c>
      <c r="B63" s="197" t="s">
        <v>120</v>
      </c>
      <c r="C63" s="198"/>
      <c r="D63" s="6">
        <f>IF(VLOOKUP(B63,Beneficios!$A$1:$F$8,1,FALSE)=Copeira!B62,VLOOKUP(B63,Beneficios!$A$1:$F$8,6,FALSE))-$D$25*Beneficios!$E$2</f>
        <v>169.84740000000005</v>
      </c>
      <c r="E63" s="44" t="s">
        <v>139</v>
      </c>
    </row>
    <row r="64" spans="1:5" x14ac:dyDescent="0.25">
      <c r="A64" s="5" t="s">
        <v>6</v>
      </c>
      <c r="B64" s="197" t="s">
        <v>38</v>
      </c>
      <c r="C64" s="198">
        <f>22*16-(22*16)*20%</f>
        <v>281.60000000000002</v>
      </c>
      <c r="D64" s="6">
        <f>IF(VLOOKUP(B64,Beneficios!$A$1:$F$8,1,FALSE)=Copeira!B63,VLOOKUP(B64,Beneficios!$A$1:$F$8,6,FALSE))</f>
        <v>326.12800000000004</v>
      </c>
      <c r="E64" s="22" t="s">
        <v>220</v>
      </c>
    </row>
    <row r="65" spans="1:5" x14ac:dyDescent="0.25">
      <c r="A65" s="5" t="s">
        <v>8</v>
      </c>
      <c r="B65" s="197" t="s">
        <v>106</v>
      </c>
      <c r="C65" s="198">
        <f>120</f>
        <v>120</v>
      </c>
      <c r="D65" s="6">
        <f>IF(VLOOKUP(B65,Beneficios!$A$1:$F$8,1,FALSE)=Copeira!B64,VLOOKUP(B65,Beneficios!$A$1:$F$8,6,FALSE))</f>
        <v>130.80000000000001</v>
      </c>
      <c r="E65" s="22" t="s">
        <v>140</v>
      </c>
    </row>
    <row r="66" spans="1:5" x14ac:dyDescent="0.25">
      <c r="A66" s="5" t="s">
        <v>10</v>
      </c>
      <c r="B66" s="197" t="s">
        <v>215</v>
      </c>
      <c r="C66" s="198"/>
      <c r="D66" s="6">
        <v>49</v>
      </c>
      <c r="E66" s="22" t="s">
        <v>140</v>
      </c>
    </row>
    <row r="67" spans="1:5" x14ac:dyDescent="0.25">
      <c r="A67" s="5" t="s">
        <v>12</v>
      </c>
      <c r="B67" s="197" t="s">
        <v>192</v>
      </c>
      <c r="C67" s="198"/>
      <c r="D67" s="6"/>
      <c r="E67" s="22" t="s">
        <v>140</v>
      </c>
    </row>
    <row r="68" spans="1:5" x14ac:dyDescent="0.25">
      <c r="A68" s="5" t="s">
        <v>29</v>
      </c>
      <c r="B68" s="197" t="s">
        <v>192</v>
      </c>
      <c r="C68" s="198"/>
      <c r="D68" s="6"/>
      <c r="E68" s="22" t="s">
        <v>140</v>
      </c>
    </row>
    <row r="69" spans="1:5" x14ac:dyDescent="0.25">
      <c r="A69" s="5" t="s">
        <v>14</v>
      </c>
      <c r="B69" s="197" t="s">
        <v>192</v>
      </c>
      <c r="C69" s="198"/>
      <c r="D69" s="6"/>
      <c r="E69" s="22" t="s">
        <v>140</v>
      </c>
    </row>
    <row r="70" spans="1:5" x14ac:dyDescent="0.25">
      <c r="A70" s="194" t="s">
        <v>15</v>
      </c>
      <c r="B70" s="195"/>
      <c r="C70" s="196"/>
      <c r="D70" s="10">
        <f>SUM(D63:D69)</f>
        <v>675.7754000000001</v>
      </c>
      <c r="E70" s="22"/>
    </row>
    <row r="73" spans="1:5" x14ac:dyDescent="0.25">
      <c r="A73" s="189" t="s">
        <v>39</v>
      </c>
      <c r="B73" s="189"/>
      <c r="C73" s="189"/>
      <c r="D73" s="189"/>
      <c r="E73" s="189"/>
    </row>
    <row r="75" spans="1:5" x14ac:dyDescent="0.25">
      <c r="A75" s="31">
        <v>2</v>
      </c>
      <c r="B75" s="133" t="s">
        <v>40</v>
      </c>
      <c r="C75" s="134"/>
      <c r="D75" s="31" t="s">
        <v>3</v>
      </c>
      <c r="E75" s="31" t="s">
        <v>90</v>
      </c>
    </row>
    <row r="76" spans="1:5" x14ac:dyDescent="0.25">
      <c r="A76" s="5" t="s">
        <v>18</v>
      </c>
      <c r="B76" s="137" t="s">
        <v>19</v>
      </c>
      <c r="C76" s="138"/>
      <c r="D76" s="6">
        <f>D43</f>
        <v>292.11583333333334</v>
      </c>
      <c r="E76" s="22"/>
    </row>
    <row r="77" spans="1:5" x14ac:dyDescent="0.25">
      <c r="A77" s="5" t="s">
        <v>22</v>
      </c>
      <c r="B77" s="137" t="s">
        <v>23</v>
      </c>
      <c r="C77" s="138"/>
      <c r="D77" s="6">
        <f>D57</f>
        <v>714.18148166666674</v>
      </c>
      <c r="E77" s="22"/>
    </row>
    <row r="78" spans="1:5" x14ac:dyDescent="0.25">
      <c r="A78" s="5" t="s">
        <v>36</v>
      </c>
      <c r="B78" s="137" t="s">
        <v>37</v>
      </c>
      <c r="C78" s="138"/>
      <c r="D78" s="6">
        <f>D70</f>
        <v>675.7754000000001</v>
      </c>
      <c r="E78" s="22"/>
    </row>
    <row r="79" spans="1:5" x14ac:dyDescent="0.25">
      <c r="A79" s="194" t="s">
        <v>15</v>
      </c>
      <c r="B79" s="195"/>
      <c r="C79" s="196"/>
      <c r="D79" s="10">
        <f>SUM(D76:D78)</f>
        <v>1682.0727150000002</v>
      </c>
      <c r="E79" s="22"/>
    </row>
    <row r="80" spans="1:5" x14ac:dyDescent="0.25">
      <c r="A80" s="3"/>
    </row>
    <row r="82" spans="1:5" x14ac:dyDescent="0.25">
      <c r="A82" s="189" t="s">
        <v>41</v>
      </c>
      <c r="B82" s="189"/>
      <c r="C82" s="189"/>
      <c r="D82" s="189"/>
      <c r="E82" s="189"/>
    </row>
    <row r="84" spans="1:5" x14ac:dyDescent="0.25">
      <c r="A84" s="31">
        <v>3</v>
      </c>
      <c r="B84" s="31" t="s">
        <v>42</v>
      </c>
      <c r="C84" s="31" t="s">
        <v>24</v>
      </c>
      <c r="D84" s="31" t="s">
        <v>3</v>
      </c>
      <c r="E84" s="31" t="s">
        <v>129</v>
      </c>
    </row>
    <row r="85" spans="1:5" x14ac:dyDescent="0.25">
      <c r="A85" s="5" t="s">
        <v>4</v>
      </c>
      <c r="B85" s="9" t="s">
        <v>43</v>
      </c>
      <c r="C85" s="17">
        <f>1/12*5%</f>
        <v>4.1666666666666666E-3</v>
      </c>
      <c r="D85" s="6">
        <f>($D$32+$D$76)*C85</f>
        <v>7.4767743055555549</v>
      </c>
      <c r="E85" s="7" t="s">
        <v>141</v>
      </c>
    </row>
    <row r="86" spans="1:5" x14ac:dyDescent="0.25">
      <c r="A86" s="5" t="s">
        <v>6</v>
      </c>
      <c r="B86" s="9" t="s">
        <v>44</v>
      </c>
      <c r="C86" s="18">
        <f>8%*C85</f>
        <v>3.3333333333333332E-4</v>
      </c>
      <c r="D86" s="6">
        <f t="shared" ref="D86:D90" si="1">($D$32+$D$76)*C86</f>
        <v>0.59814194444444435</v>
      </c>
      <c r="E86" s="44" t="s">
        <v>151</v>
      </c>
    </row>
    <row r="87" spans="1:5" ht="25.5" x14ac:dyDescent="0.25">
      <c r="A87" s="5" t="s">
        <v>8</v>
      </c>
      <c r="B87" s="9" t="s">
        <v>119</v>
      </c>
      <c r="C87" s="34">
        <v>0.04</v>
      </c>
      <c r="D87" s="6">
        <f t="shared" si="1"/>
        <v>71.777033333333335</v>
      </c>
      <c r="E87" s="7" t="s">
        <v>142</v>
      </c>
    </row>
    <row r="88" spans="1:5" x14ac:dyDescent="0.25">
      <c r="A88" s="5" t="s">
        <v>10</v>
      </c>
      <c r="B88" s="9" t="s">
        <v>45</v>
      </c>
      <c r="C88" s="17">
        <f>7/30/12</f>
        <v>1.9444444444444445E-2</v>
      </c>
      <c r="D88" s="6">
        <f t="shared" si="1"/>
        <v>34.891613425925925</v>
      </c>
      <c r="E88" s="7" t="s">
        <v>144</v>
      </c>
    </row>
    <row r="89" spans="1:5" ht="25.5" x14ac:dyDescent="0.25">
      <c r="A89" s="5" t="s">
        <v>12</v>
      </c>
      <c r="B89" s="9" t="s">
        <v>46</v>
      </c>
      <c r="C89" s="17">
        <f>C57*C88</f>
        <v>7.7388888888888906E-3</v>
      </c>
      <c r="D89" s="6">
        <f t="shared" si="1"/>
        <v>13.88686214351852</v>
      </c>
      <c r="E89" s="44" t="s">
        <v>152</v>
      </c>
    </row>
    <row r="90" spans="1:5" ht="16.5" customHeight="1" x14ac:dyDescent="0.25">
      <c r="A90" s="5" t="s">
        <v>29</v>
      </c>
      <c r="B90" s="9"/>
      <c r="C90" s="17"/>
      <c r="D90" s="6">
        <f t="shared" si="1"/>
        <v>0</v>
      </c>
      <c r="E90" s="44"/>
    </row>
    <row r="91" spans="1:5" x14ac:dyDescent="0.25">
      <c r="A91" s="31" t="s">
        <v>15</v>
      </c>
      <c r="B91" s="31"/>
      <c r="C91" s="10"/>
      <c r="D91" s="10">
        <f>SUM(D85:D90)</f>
        <v>128.63042515277778</v>
      </c>
      <c r="E91" s="44"/>
    </row>
    <row r="94" spans="1:5" x14ac:dyDescent="0.25">
      <c r="A94" s="189" t="s">
        <v>47</v>
      </c>
      <c r="B94" s="189"/>
      <c r="C94" s="189"/>
      <c r="D94" s="189"/>
      <c r="E94" s="189"/>
    </row>
    <row r="96" spans="1:5" x14ac:dyDescent="0.25">
      <c r="A96" s="189" t="s">
        <v>48</v>
      </c>
      <c r="B96" s="189"/>
      <c r="C96" s="189"/>
      <c r="D96" s="189"/>
      <c r="E96" s="189"/>
    </row>
    <row r="97" spans="1:5" x14ac:dyDescent="0.25">
      <c r="A97" s="2"/>
    </row>
    <row r="98" spans="1:5" x14ac:dyDescent="0.25">
      <c r="A98" s="31" t="s">
        <v>49</v>
      </c>
      <c r="B98" s="31" t="s">
        <v>50</v>
      </c>
      <c r="C98" s="31" t="s">
        <v>24</v>
      </c>
      <c r="D98" s="31" t="s">
        <v>3</v>
      </c>
      <c r="E98" s="31" t="s">
        <v>129</v>
      </c>
    </row>
    <row r="99" spans="1:5" x14ac:dyDescent="0.25">
      <c r="A99" s="5" t="s">
        <v>4</v>
      </c>
      <c r="B99" s="7" t="s">
        <v>51</v>
      </c>
      <c r="C99" s="16">
        <f>IF($C$41&gt;0,0,1/12)</f>
        <v>0</v>
      </c>
      <c r="D99" s="6">
        <f t="shared" ref="D99:D104" si="2">($D$32+$D$79+$D$91)*C99</f>
        <v>0</v>
      </c>
      <c r="E99" s="22" t="s">
        <v>143</v>
      </c>
    </row>
    <row r="100" spans="1:5" x14ac:dyDescent="0.25">
      <c r="A100" s="5" t="s">
        <v>6</v>
      </c>
      <c r="B100" s="7" t="s">
        <v>50</v>
      </c>
      <c r="C100" s="16">
        <f>(100%/30)*1.4947/12</f>
        <v>4.1519444444444442E-3</v>
      </c>
      <c r="D100" s="6">
        <f t="shared" si="2"/>
        <v>13.75544650162877</v>
      </c>
      <c r="E100" s="7" t="s">
        <v>145</v>
      </c>
    </row>
    <row r="101" spans="1:5" x14ac:dyDescent="0.25">
      <c r="A101" s="5" t="s">
        <v>8</v>
      </c>
      <c r="B101" s="7" t="s">
        <v>52</v>
      </c>
      <c r="C101" s="16">
        <f>5/360*1.416%</f>
        <v>1.9666666666666663E-4</v>
      </c>
      <c r="D101" s="6">
        <f t="shared" si="2"/>
        <v>0.65155925089671285</v>
      </c>
      <c r="E101" s="7" t="s">
        <v>146</v>
      </c>
    </row>
    <row r="102" spans="1:5" x14ac:dyDescent="0.25">
      <c r="A102" s="5" t="s">
        <v>10</v>
      </c>
      <c r="B102" s="7" t="s">
        <v>53</v>
      </c>
      <c r="C102" s="16">
        <f>(100%/30)*15/12*(582507/69481633)</f>
        <v>3.4931713536439187E-4</v>
      </c>
      <c r="D102" s="6">
        <f t="shared" si="2"/>
        <v>1.1572922595427568</v>
      </c>
      <c r="E102" s="54" t="s">
        <v>147</v>
      </c>
    </row>
    <row r="103" spans="1:5" x14ac:dyDescent="0.25">
      <c r="A103" s="5" t="s">
        <v>12</v>
      </c>
      <c r="B103" s="7" t="s">
        <v>54</v>
      </c>
      <c r="C103" s="16">
        <f>4/12*(8.33%+8.33%+2.78%)*1.416%</f>
        <v>9.175679999999999E-4</v>
      </c>
      <c r="D103" s="6">
        <f t="shared" si="2"/>
        <v>3.0399148409837036</v>
      </c>
      <c r="E103" s="44" t="s">
        <v>148</v>
      </c>
    </row>
    <row r="104" spans="1:5" x14ac:dyDescent="0.25">
      <c r="A104" s="5" t="s">
        <v>29</v>
      </c>
      <c r="B104" s="7" t="s">
        <v>154</v>
      </c>
      <c r="C104" s="16">
        <f>(1462463/54796761)/12</f>
        <v>2.2240715407734896E-3</v>
      </c>
      <c r="D104" s="6">
        <f t="shared" si="2"/>
        <v>7.3683782392224053</v>
      </c>
      <c r="E104" s="44"/>
    </row>
    <row r="105" spans="1:5" x14ac:dyDescent="0.25">
      <c r="A105" s="194" t="s">
        <v>34</v>
      </c>
      <c r="B105" s="195"/>
      <c r="C105" s="196"/>
      <c r="D105" s="10">
        <f>SUM(D99:D104)</f>
        <v>25.972591092274346</v>
      </c>
      <c r="E105" s="22"/>
    </row>
    <row r="108" spans="1:5" x14ac:dyDescent="0.25">
      <c r="A108" s="189" t="s">
        <v>55</v>
      </c>
      <c r="B108" s="189"/>
      <c r="C108" s="189"/>
      <c r="D108" s="189"/>
      <c r="E108" s="189"/>
    </row>
    <row r="109" spans="1:5" x14ac:dyDescent="0.25">
      <c r="A109" s="2"/>
    </row>
    <row r="110" spans="1:5" x14ac:dyDescent="0.25">
      <c r="A110" s="31" t="s">
        <v>56</v>
      </c>
      <c r="B110" s="194" t="s">
        <v>57</v>
      </c>
      <c r="C110" s="196"/>
      <c r="D110" s="31" t="s">
        <v>3</v>
      </c>
      <c r="E110" s="31" t="s">
        <v>129</v>
      </c>
    </row>
    <row r="111" spans="1:5" x14ac:dyDescent="0.25">
      <c r="A111" s="5" t="s">
        <v>4</v>
      </c>
      <c r="B111" s="197" t="s">
        <v>58</v>
      </c>
      <c r="C111" s="198"/>
      <c r="D111" s="6"/>
      <c r="E111" s="22"/>
    </row>
    <row r="112" spans="1:5" x14ac:dyDescent="0.25">
      <c r="A112" s="194" t="s">
        <v>15</v>
      </c>
      <c r="B112" s="195"/>
      <c r="C112" s="196"/>
      <c r="D112" s="6">
        <f>D111</f>
        <v>0</v>
      </c>
      <c r="E112" s="22"/>
    </row>
    <row r="115" spans="1:5" x14ac:dyDescent="0.25">
      <c r="A115" s="189" t="s">
        <v>59</v>
      </c>
      <c r="B115" s="189"/>
      <c r="C115" s="189"/>
      <c r="D115" s="189"/>
      <c r="E115" s="189"/>
    </row>
    <row r="116" spans="1:5" x14ac:dyDescent="0.25">
      <c r="A116" s="2"/>
    </row>
    <row r="117" spans="1:5" x14ac:dyDescent="0.25">
      <c r="A117" s="31">
        <v>4</v>
      </c>
      <c r="B117" s="133" t="s">
        <v>60</v>
      </c>
      <c r="C117" s="134"/>
      <c r="D117" s="31" t="s">
        <v>3</v>
      </c>
      <c r="E117" s="31" t="s">
        <v>90</v>
      </c>
    </row>
    <row r="118" spans="1:5" x14ac:dyDescent="0.25">
      <c r="A118" s="5" t="s">
        <v>49</v>
      </c>
      <c r="B118" s="137" t="s">
        <v>50</v>
      </c>
      <c r="C118" s="138"/>
      <c r="D118" s="6">
        <f>D105</f>
        <v>25.972591092274346</v>
      </c>
      <c r="E118" s="22"/>
    </row>
    <row r="119" spans="1:5" x14ac:dyDescent="0.25">
      <c r="A119" s="5" t="s">
        <v>56</v>
      </c>
      <c r="B119" s="137" t="s">
        <v>57</v>
      </c>
      <c r="C119" s="138"/>
      <c r="D119" s="6">
        <f>D112</f>
        <v>0</v>
      </c>
      <c r="E119" s="22"/>
    </row>
    <row r="120" spans="1:5" x14ac:dyDescent="0.25">
      <c r="A120" s="194" t="s">
        <v>15</v>
      </c>
      <c r="B120" s="195"/>
      <c r="C120" s="196"/>
      <c r="D120" s="10">
        <f>SUM(D118:D119)</f>
        <v>25.972591092274346</v>
      </c>
      <c r="E120" s="22"/>
    </row>
    <row r="123" spans="1:5" x14ac:dyDescent="0.25">
      <c r="A123" s="189" t="s">
        <v>61</v>
      </c>
      <c r="B123" s="189"/>
      <c r="C123" s="189"/>
      <c r="D123" s="189"/>
      <c r="E123" s="189"/>
    </row>
    <row r="125" spans="1:5" x14ac:dyDescent="0.25">
      <c r="A125" s="31">
        <v>5</v>
      </c>
      <c r="B125" s="133" t="s">
        <v>62</v>
      </c>
      <c r="C125" s="134"/>
      <c r="D125" s="31" t="s">
        <v>3</v>
      </c>
      <c r="E125" s="31" t="s">
        <v>90</v>
      </c>
    </row>
    <row r="126" spans="1:5" x14ac:dyDescent="0.25">
      <c r="A126" s="5" t="s">
        <v>4</v>
      </c>
      <c r="B126" s="137" t="s">
        <v>63</v>
      </c>
      <c r="C126" s="138"/>
      <c r="D126" s="6">
        <f>SUMIFS(Uniformes!G:G,Uniformes!H:H,'Jardineiro - Diária'!$C$18)</f>
        <v>82.22</v>
      </c>
      <c r="E126" s="44" t="s">
        <v>190</v>
      </c>
    </row>
    <row r="127" spans="1:5" x14ac:dyDescent="0.25">
      <c r="A127" s="5" t="s">
        <v>6</v>
      </c>
      <c r="B127" s="137" t="s">
        <v>64</v>
      </c>
      <c r="C127" s="138"/>
      <c r="D127" s="6">
        <f>SUMIFS(Materiais!H:H,Materiais!I:I,'Jardineiro - Diária'!C18)</f>
        <v>66.45</v>
      </c>
      <c r="E127" s="44" t="s">
        <v>190</v>
      </c>
    </row>
    <row r="128" spans="1:5" x14ac:dyDescent="0.25">
      <c r="A128" s="5" t="s">
        <v>8</v>
      </c>
      <c r="B128" s="137" t="s">
        <v>65</v>
      </c>
      <c r="C128" s="138"/>
      <c r="D128" s="6">
        <f>IFERROR(SUMIFS(Equipamentos!J:J,Equipamentos!K:K,'Jardineiro - Diária'!$C$18)/SUM(Resumo!H10:H12),0)</f>
        <v>22.742082335246138</v>
      </c>
      <c r="E128" s="44" t="s">
        <v>194</v>
      </c>
    </row>
    <row r="129" spans="1:5" x14ac:dyDescent="0.25">
      <c r="A129" s="5" t="s">
        <v>10</v>
      </c>
      <c r="B129" s="137" t="s">
        <v>155</v>
      </c>
      <c r="C129" s="138"/>
      <c r="D129" s="6">
        <f>SUMIFS(EPIs!G:G,EPIs!H:H,'Jardineiro - Diária'!$C$18)</f>
        <v>23.61</v>
      </c>
      <c r="E129" s="22"/>
    </row>
    <row r="130" spans="1:5" x14ac:dyDescent="0.25">
      <c r="A130" s="194" t="s">
        <v>34</v>
      </c>
      <c r="B130" s="195"/>
      <c r="C130" s="196"/>
      <c r="D130" s="10">
        <f>SUM(D126:D129)</f>
        <v>195.02208233524618</v>
      </c>
      <c r="E130" s="22"/>
    </row>
    <row r="133" spans="1:5" x14ac:dyDescent="0.25">
      <c r="A133" s="189" t="s">
        <v>66</v>
      </c>
      <c r="B133" s="189"/>
      <c r="C133" s="189"/>
      <c r="D133" s="189"/>
      <c r="E133" s="189"/>
    </row>
    <row r="135" spans="1:5" x14ac:dyDescent="0.25">
      <c r="A135" s="31">
        <v>6</v>
      </c>
      <c r="B135" s="11" t="s">
        <v>67</v>
      </c>
      <c r="C135" s="31" t="s">
        <v>24</v>
      </c>
      <c r="D135" s="31" t="s">
        <v>3</v>
      </c>
      <c r="E135" s="31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(D32+D79+D91+D120+D130)*C136</f>
        <v>176.70039067901493</v>
      </c>
      <c r="E136" s="44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(D32+D79+D91+D120+D130+D136)*C137</f>
        <v>371.07082042593134</v>
      </c>
      <c r="E137" s="44"/>
    </row>
    <row r="138" spans="1:5" x14ac:dyDescent="0.25">
      <c r="A138" s="5" t="s">
        <v>8</v>
      </c>
      <c r="B138" s="7" t="s">
        <v>118</v>
      </c>
      <c r="C138" s="13">
        <f>C140+C141+C144</f>
        <v>9.2499999999999999E-2</v>
      </c>
      <c r="D138" s="6">
        <f>SUM(D139:D144)</f>
        <v>416.04910168968058</v>
      </c>
      <c r="E138" s="44"/>
    </row>
    <row r="139" spans="1:5" ht="15.75" hidden="1" customHeight="1" x14ac:dyDescent="0.25">
      <c r="A139" s="5"/>
      <c r="B139" s="7" t="s">
        <v>70</v>
      </c>
      <c r="C139" s="12"/>
      <c r="D139" s="6"/>
      <c r="E139" s="44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(($D$32+$D$79+$D$91+$D$120+$D$130+$D$136+$D$137)/(1-$C$138))*C140</f>
        <v>74.214164085186269</v>
      </c>
      <c r="E140" s="44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(($D$32+$D$79+$D$91+$D$120+$D$130+$D$136+$D$137)/(1-$C$138))*C141</f>
        <v>341.83493760449431</v>
      </c>
      <c r="E141" s="44"/>
    </row>
    <row r="142" spans="1:5" ht="15.75" hidden="1" customHeight="1" x14ac:dyDescent="0.25">
      <c r="A142" s="5"/>
      <c r="B142" s="7" t="s">
        <v>71</v>
      </c>
      <c r="C142" s="12"/>
      <c r="D142" s="6">
        <f>(($D$32+$D$79+$D$91+$D$120+$D$130+$D$136+$D$137)/(1-$C$138))*C142</f>
        <v>0</v>
      </c>
      <c r="E142" s="44"/>
    </row>
    <row r="143" spans="1:5" hidden="1" x14ac:dyDescent="0.25">
      <c r="A143" s="5"/>
      <c r="B143" s="7" t="s">
        <v>72</v>
      </c>
      <c r="C143" s="12"/>
      <c r="D143" s="6">
        <f>(($D$32+$D$79+$D$91+$D$120+$D$130+$D$136+$D$137)/(1-$C$138))*C143</f>
        <v>0</v>
      </c>
      <c r="E143" s="44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Real",$G$4)))</f>
        <v>0</v>
      </c>
      <c r="D144" s="6">
        <f>(($D$32+$D$79+$D$91+$D$120+$D$130+$D$136+$D$137)/(1-$C$138))*C144</f>
        <v>0</v>
      </c>
      <c r="E144" s="44"/>
    </row>
    <row r="145" spans="1:5" x14ac:dyDescent="0.25">
      <c r="A145" s="31" t="s">
        <v>34</v>
      </c>
      <c r="B145" s="31"/>
      <c r="C145" s="10"/>
      <c r="D145" s="10">
        <f>D136+D137+D138</f>
        <v>963.82031279462683</v>
      </c>
      <c r="E145" s="22"/>
    </row>
    <row r="148" spans="1:5" x14ac:dyDescent="0.25">
      <c r="A148" s="189" t="s">
        <v>73</v>
      </c>
      <c r="B148" s="189"/>
      <c r="C148" s="189"/>
      <c r="D148" s="189"/>
      <c r="E148" s="189"/>
    </row>
    <row r="150" spans="1:5" x14ac:dyDescent="0.25">
      <c r="A150" s="31"/>
      <c r="B150" s="133" t="s">
        <v>74</v>
      </c>
      <c r="C150" s="134"/>
      <c r="D150" s="31" t="s">
        <v>3</v>
      </c>
      <c r="E150" s="31" t="s">
        <v>90</v>
      </c>
    </row>
    <row r="151" spans="1:5" x14ac:dyDescent="0.25">
      <c r="A151" s="5" t="s">
        <v>4</v>
      </c>
      <c r="B151" s="137" t="s">
        <v>1</v>
      </c>
      <c r="C151" s="138"/>
      <c r="D151" s="6">
        <f>D32</f>
        <v>1502.31</v>
      </c>
      <c r="E151" s="22"/>
    </row>
    <row r="152" spans="1:5" x14ac:dyDescent="0.25">
      <c r="A152" s="5" t="s">
        <v>6</v>
      </c>
      <c r="B152" s="137" t="s">
        <v>16</v>
      </c>
      <c r="C152" s="138"/>
      <c r="D152" s="6">
        <f>D79</f>
        <v>1682.0727150000002</v>
      </c>
      <c r="E152" s="22"/>
    </row>
    <row r="153" spans="1:5" x14ac:dyDescent="0.25">
      <c r="A153" s="5" t="s">
        <v>8</v>
      </c>
      <c r="B153" s="137" t="s">
        <v>41</v>
      </c>
      <c r="C153" s="138"/>
      <c r="D153" s="6">
        <f>D91</f>
        <v>128.63042515277778</v>
      </c>
      <c r="E153" s="22"/>
    </row>
    <row r="154" spans="1:5" x14ac:dyDescent="0.25">
      <c r="A154" s="5" t="s">
        <v>10</v>
      </c>
      <c r="B154" s="137" t="s">
        <v>47</v>
      </c>
      <c r="C154" s="40"/>
      <c r="D154" s="6">
        <f>D120</f>
        <v>25.972591092274346</v>
      </c>
      <c r="E154" s="22"/>
    </row>
    <row r="155" spans="1:5" x14ac:dyDescent="0.25">
      <c r="A155" s="5" t="s">
        <v>12</v>
      </c>
      <c r="B155" s="137" t="s">
        <v>61</v>
      </c>
      <c r="C155" s="40"/>
      <c r="D155" s="6">
        <f>D130</f>
        <v>195.02208233524618</v>
      </c>
      <c r="E155" s="22"/>
    </row>
    <row r="156" spans="1:5" ht="15.75" customHeight="1" x14ac:dyDescent="0.25">
      <c r="A156" s="194" t="s">
        <v>75</v>
      </c>
      <c r="B156" s="195"/>
      <c r="C156" s="196"/>
      <c r="D156" s="10">
        <f>SUM(D151:D155)</f>
        <v>3534.0078135802983</v>
      </c>
      <c r="E156" s="22"/>
    </row>
    <row r="157" spans="1:5" x14ac:dyDescent="0.25">
      <c r="A157" s="23" t="s">
        <v>29</v>
      </c>
      <c r="B157" s="137" t="s">
        <v>76</v>
      </c>
      <c r="C157" s="40"/>
      <c r="D157" s="6">
        <f>D145</f>
        <v>963.82031279462683</v>
      </c>
      <c r="E157" s="22"/>
    </row>
    <row r="158" spans="1:5" ht="15.75" customHeight="1" x14ac:dyDescent="0.25">
      <c r="A158" s="194" t="s">
        <v>77</v>
      </c>
      <c r="B158" s="195"/>
      <c r="C158" s="196"/>
      <c r="D158" s="10">
        <f>D156+D157</f>
        <v>4497.828126374925</v>
      </c>
      <c r="E158" s="22"/>
    </row>
    <row r="159" spans="1:5" ht="15.75" customHeight="1" x14ac:dyDescent="0.25">
      <c r="A159" s="194" t="s">
        <v>241</v>
      </c>
      <c r="B159" s="195"/>
      <c r="C159" s="196"/>
      <c r="D159" s="10">
        <f>D158/22</f>
        <v>204.44673301704205</v>
      </c>
      <c r="E159" s="22" t="s">
        <v>242</v>
      </c>
    </row>
    <row r="160" spans="1:5" ht="15.75" customHeight="1" x14ac:dyDescent="0.25">
      <c r="A160" s="194" t="s">
        <v>84</v>
      </c>
      <c r="B160" s="195"/>
      <c r="C160" s="196"/>
      <c r="D160" s="10">
        <f>D159*12</f>
        <v>2453.3607962045044</v>
      </c>
      <c r="E160" s="22"/>
    </row>
  </sheetData>
  <mergeCells count="54">
    <mergeCell ref="A160:C160"/>
    <mergeCell ref="B111:C111"/>
    <mergeCell ref="A112:C112"/>
    <mergeCell ref="A115:E115"/>
    <mergeCell ref="A120:C120"/>
    <mergeCell ref="A123:E123"/>
    <mergeCell ref="A130:C130"/>
    <mergeCell ref="A133:E133"/>
    <mergeCell ref="A148:E148"/>
    <mergeCell ref="A156:C156"/>
    <mergeCell ref="A158:C158"/>
    <mergeCell ref="A159:C159"/>
    <mergeCell ref="B110:C110"/>
    <mergeCell ref="B67:C67"/>
    <mergeCell ref="B68:C68"/>
    <mergeCell ref="B69:C69"/>
    <mergeCell ref="A70:C70"/>
    <mergeCell ref="A73:E73"/>
    <mergeCell ref="A79:C79"/>
    <mergeCell ref="A82:E82"/>
    <mergeCell ref="A94:E94"/>
    <mergeCell ref="A96:E96"/>
    <mergeCell ref="A105:C105"/>
    <mergeCell ref="A108:E108"/>
    <mergeCell ref="B66:C66"/>
    <mergeCell ref="A32:B32"/>
    <mergeCell ref="A35:E35"/>
    <mergeCell ref="A37:E37"/>
    <mergeCell ref="A43:B43"/>
    <mergeCell ref="A46:E46"/>
    <mergeCell ref="A57:B57"/>
    <mergeCell ref="A60:E60"/>
    <mergeCell ref="B62:C62"/>
    <mergeCell ref="B63:C63"/>
    <mergeCell ref="B64:C64"/>
    <mergeCell ref="B65:C65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A9:D9"/>
    <mergeCell ref="A1:E1"/>
    <mergeCell ref="C5:D5"/>
    <mergeCell ref="C6:D6"/>
    <mergeCell ref="C7:D7"/>
    <mergeCell ref="C8:D8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4" max="6" man="1"/>
    <brk id="59" max="6" man="1"/>
    <brk id="93" max="6" man="1"/>
    <brk id="122" max="6" man="1"/>
    <brk id="147" max="6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3"/>
  <sheetViews>
    <sheetView workbookViewId="0">
      <selection activeCell="C3" sqref="C3"/>
    </sheetView>
  </sheetViews>
  <sheetFormatPr defaultRowHeight="15" x14ac:dyDescent="0.25"/>
  <cols>
    <col min="1" max="1" width="28.140625" bestFit="1" customWidth="1"/>
    <col min="2" max="2" width="12.140625" bestFit="1" customWidth="1"/>
    <col min="3" max="3" width="13.5703125" bestFit="1" customWidth="1"/>
    <col min="4" max="4" width="12" bestFit="1" customWidth="1"/>
    <col min="5" max="5" width="15.7109375" customWidth="1"/>
    <col min="6" max="6" width="12.42578125" style="47" customWidth="1"/>
  </cols>
  <sheetData>
    <row r="1" spans="1:6" s="46" customFormat="1" ht="28.5" x14ac:dyDescent="0.25">
      <c r="A1" s="52" t="s">
        <v>121</v>
      </c>
      <c r="B1" s="52" t="s">
        <v>125</v>
      </c>
      <c r="C1" s="52" t="s">
        <v>97</v>
      </c>
      <c r="D1" s="52" t="s">
        <v>126</v>
      </c>
      <c r="E1" s="52" t="s">
        <v>128</v>
      </c>
      <c r="F1" s="53" t="s">
        <v>127</v>
      </c>
    </row>
    <row r="2" spans="1:6" x14ac:dyDescent="0.25">
      <c r="A2" s="48" t="s">
        <v>120</v>
      </c>
      <c r="B2" s="49">
        <f>26</f>
        <v>26</v>
      </c>
      <c r="C2" s="49">
        <v>4.95</v>
      </c>
      <c r="D2" s="49">
        <v>2</v>
      </c>
      <c r="E2" s="50">
        <v>0.06</v>
      </c>
      <c r="F2" s="51">
        <f>(C2*D2)*B2</f>
        <v>257.40000000000003</v>
      </c>
    </row>
    <row r="3" spans="1:6" x14ac:dyDescent="0.25">
      <c r="A3" s="48" t="s">
        <v>38</v>
      </c>
      <c r="B3" s="49">
        <v>22</v>
      </c>
      <c r="C3" s="49">
        <v>18.53</v>
      </c>
      <c r="D3" s="49">
        <v>1</v>
      </c>
      <c r="E3" s="50">
        <v>0.2</v>
      </c>
      <c r="F3" s="51">
        <f>(C3*B3)-(B3*C3)*E3</f>
        <v>326.12800000000004</v>
      </c>
    </row>
    <row r="4" spans="1:6" x14ac:dyDescent="0.25">
      <c r="A4" s="48" t="s">
        <v>106</v>
      </c>
      <c r="B4" s="49">
        <v>1</v>
      </c>
      <c r="C4" s="49">
        <v>130.80000000000001</v>
      </c>
      <c r="D4" s="49">
        <v>1</v>
      </c>
      <c r="E4" s="49"/>
      <c r="F4" s="51">
        <f>C4*D4*B4</f>
        <v>130.80000000000001</v>
      </c>
    </row>
    <row r="5" spans="1:6" x14ac:dyDescent="0.25">
      <c r="A5" s="48"/>
      <c r="B5" s="49"/>
      <c r="C5" s="49"/>
      <c r="D5" s="49"/>
      <c r="E5" s="49"/>
      <c r="F5" s="51"/>
    </row>
    <row r="6" spans="1:6" x14ac:dyDescent="0.25">
      <c r="A6" s="48"/>
      <c r="B6" s="49"/>
      <c r="C6" s="49"/>
      <c r="D6" s="49"/>
      <c r="E6" s="49"/>
      <c r="F6" s="51"/>
    </row>
    <row r="7" spans="1:6" x14ac:dyDescent="0.25">
      <c r="A7" s="48"/>
      <c r="B7" s="49"/>
      <c r="C7" s="49"/>
      <c r="D7" s="49"/>
      <c r="E7" s="49"/>
      <c r="F7" s="51"/>
    </row>
    <row r="8" spans="1:6" x14ac:dyDescent="0.25">
      <c r="A8" s="48"/>
      <c r="B8" s="49"/>
      <c r="C8" s="49"/>
      <c r="D8" s="49"/>
      <c r="E8" s="49"/>
      <c r="F8" s="51"/>
    </row>
    <row r="23" spans="4:4" x14ac:dyDescent="0.25">
      <c r="D23" t="s">
        <v>265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zoomScaleNormal="100" zoomScaleSheetLayoutView="100" workbookViewId="0">
      <selection activeCell="G5" sqref="G5"/>
    </sheetView>
  </sheetViews>
  <sheetFormatPr defaultRowHeight="12.75" x14ac:dyDescent="0.2"/>
  <cols>
    <col min="1" max="1" width="10.85546875" style="122" customWidth="1"/>
    <col min="2" max="2" width="18.28515625" style="123" customWidth="1"/>
    <col min="3" max="3" width="18.85546875" style="122" customWidth="1"/>
    <col min="4" max="4" width="16.5703125" style="122" customWidth="1"/>
    <col min="5" max="5" width="18.28515625" style="122" customWidth="1"/>
    <col min="6" max="6" width="17.5703125" style="122" customWidth="1"/>
    <col min="7" max="7" width="19" style="98" customWidth="1"/>
    <col min="8" max="10" width="8.7109375" style="98"/>
    <col min="11" max="12" width="10.140625" style="98" bestFit="1" customWidth="1"/>
    <col min="13" max="256" width="8.7109375" style="98"/>
    <col min="257" max="257" width="10.85546875" style="98" customWidth="1"/>
    <col min="258" max="258" width="18.28515625" style="98" customWidth="1"/>
    <col min="259" max="259" width="18.85546875" style="98" customWidth="1"/>
    <col min="260" max="260" width="16.5703125" style="98" customWidth="1"/>
    <col min="261" max="261" width="18.28515625" style="98" customWidth="1"/>
    <col min="262" max="262" width="17.5703125" style="98" customWidth="1"/>
    <col min="263" max="263" width="19" style="98" customWidth="1"/>
    <col min="264" max="512" width="8.7109375" style="98"/>
    <col min="513" max="513" width="10.85546875" style="98" customWidth="1"/>
    <col min="514" max="514" width="18.28515625" style="98" customWidth="1"/>
    <col min="515" max="515" width="18.85546875" style="98" customWidth="1"/>
    <col min="516" max="516" width="16.5703125" style="98" customWidth="1"/>
    <col min="517" max="517" width="18.28515625" style="98" customWidth="1"/>
    <col min="518" max="518" width="17.5703125" style="98" customWidth="1"/>
    <col min="519" max="519" width="19" style="98" customWidth="1"/>
    <col min="520" max="768" width="8.7109375" style="98"/>
    <col min="769" max="769" width="10.85546875" style="98" customWidth="1"/>
    <col min="770" max="770" width="18.28515625" style="98" customWidth="1"/>
    <col min="771" max="771" width="18.85546875" style="98" customWidth="1"/>
    <col min="772" max="772" width="16.5703125" style="98" customWidth="1"/>
    <col min="773" max="773" width="18.28515625" style="98" customWidth="1"/>
    <col min="774" max="774" width="17.5703125" style="98" customWidth="1"/>
    <col min="775" max="775" width="19" style="98" customWidth="1"/>
    <col min="776" max="1024" width="8.7109375" style="98"/>
    <col min="1025" max="1025" width="10.85546875" style="98" customWidth="1"/>
    <col min="1026" max="1026" width="18.28515625" style="98" customWidth="1"/>
    <col min="1027" max="1027" width="18.85546875" style="98" customWidth="1"/>
    <col min="1028" max="1028" width="16.5703125" style="98" customWidth="1"/>
    <col min="1029" max="1029" width="18.28515625" style="98" customWidth="1"/>
    <col min="1030" max="1030" width="17.5703125" style="98" customWidth="1"/>
    <col min="1031" max="1031" width="19" style="98" customWidth="1"/>
    <col min="1032" max="1280" width="8.7109375" style="98"/>
    <col min="1281" max="1281" width="10.85546875" style="98" customWidth="1"/>
    <col min="1282" max="1282" width="18.28515625" style="98" customWidth="1"/>
    <col min="1283" max="1283" width="18.85546875" style="98" customWidth="1"/>
    <col min="1284" max="1284" width="16.5703125" style="98" customWidth="1"/>
    <col min="1285" max="1285" width="18.28515625" style="98" customWidth="1"/>
    <col min="1286" max="1286" width="17.5703125" style="98" customWidth="1"/>
    <col min="1287" max="1287" width="19" style="98" customWidth="1"/>
    <col min="1288" max="1536" width="8.7109375" style="98"/>
    <col min="1537" max="1537" width="10.85546875" style="98" customWidth="1"/>
    <col min="1538" max="1538" width="18.28515625" style="98" customWidth="1"/>
    <col min="1539" max="1539" width="18.85546875" style="98" customWidth="1"/>
    <col min="1540" max="1540" width="16.5703125" style="98" customWidth="1"/>
    <col min="1541" max="1541" width="18.28515625" style="98" customWidth="1"/>
    <col min="1542" max="1542" width="17.5703125" style="98" customWidth="1"/>
    <col min="1543" max="1543" width="19" style="98" customWidth="1"/>
    <col min="1544" max="1792" width="8.7109375" style="98"/>
    <col min="1793" max="1793" width="10.85546875" style="98" customWidth="1"/>
    <col min="1794" max="1794" width="18.28515625" style="98" customWidth="1"/>
    <col min="1795" max="1795" width="18.85546875" style="98" customWidth="1"/>
    <col min="1796" max="1796" width="16.5703125" style="98" customWidth="1"/>
    <col min="1797" max="1797" width="18.28515625" style="98" customWidth="1"/>
    <col min="1798" max="1798" width="17.5703125" style="98" customWidth="1"/>
    <col min="1799" max="1799" width="19" style="98" customWidth="1"/>
    <col min="1800" max="2048" width="8.7109375" style="98"/>
    <col min="2049" max="2049" width="10.85546875" style="98" customWidth="1"/>
    <col min="2050" max="2050" width="18.28515625" style="98" customWidth="1"/>
    <col min="2051" max="2051" width="18.85546875" style="98" customWidth="1"/>
    <col min="2052" max="2052" width="16.5703125" style="98" customWidth="1"/>
    <col min="2053" max="2053" width="18.28515625" style="98" customWidth="1"/>
    <col min="2054" max="2054" width="17.5703125" style="98" customWidth="1"/>
    <col min="2055" max="2055" width="19" style="98" customWidth="1"/>
    <col min="2056" max="2304" width="8.7109375" style="98"/>
    <col min="2305" max="2305" width="10.85546875" style="98" customWidth="1"/>
    <col min="2306" max="2306" width="18.28515625" style="98" customWidth="1"/>
    <col min="2307" max="2307" width="18.85546875" style="98" customWidth="1"/>
    <col min="2308" max="2308" width="16.5703125" style="98" customWidth="1"/>
    <col min="2309" max="2309" width="18.28515625" style="98" customWidth="1"/>
    <col min="2310" max="2310" width="17.5703125" style="98" customWidth="1"/>
    <col min="2311" max="2311" width="19" style="98" customWidth="1"/>
    <col min="2312" max="2560" width="8.7109375" style="98"/>
    <col min="2561" max="2561" width="10.85546875" style="98" customWidth="1"/>
    <col min="2562" max="2562" width="18.28515625" style="98" customWidth="1"/>
    <col min="2563" max="2563" width="18.85546875" style="98" customWidth="1"/>
    <col min="2564" max="2564" width="16.5703125" style="98" customWidth="1"/>
    <col min="2565" max="2565" width="18.28515625" style="98" customWidth="1"/>
    <col min="2566" max="2566" width="17.5703125" style="98" customWidth="1"/>
    <col min="2567" max="2567" width="19" style="98" customWidth="1"/>
    <col min="2568" max="2816" width="8.7109375" style="98"/>
    <col min="2817" max="2817" width="10.85546875" style="98" customWidth="1"/>
    <col min="2818" max="2818" width="18.28515625" style="98" customWidth="1"/>
    <col min="2819" max="2819" width="18.85546875" style="98" customWidth="1"/>
    <col min="2820" max="2820" width="16.5703125" style="98" customWidth="1"/>
    <col min="2821" max="2821" width="18.28515625" style="98" customWidth="1"/>
    <col min="2822" max="2822" width="17.5703125" style="98" customWidth="1"/>
    <col min="2823" max="2823" width="19" style="98" customWidth="1"/>
    <col min="2824" max="3072" width="8.7109375" style="98"/>
    <col min="3073" max="3073" width="10.85546875" style="98" customWidth="1"/>
    <col min="3074" max="3074" width="18.28515625" style="98" customWidth="1"/>
    <col min="3075" max="3075" width="18.85546875" style="98" customWidth="1"/>
    <col min="3076" max="3076" width="16.5703125" style="98" customWidth="1"/>
    <col min="3077" max="3077" width="18.28515625" style="98" customWidth="1"/>
    <col min="3078" max="3078" width="17.5703125" style="98" customWidth="1"/>
    <col min="3079" max="3079" width="19" style="98" customWidth="1"/>
    <col min="3080" max="3328" width="8.7109375" style="98"/>
    <col min="3329" max="3329" width="10.85546875" style="98" customWidth="1"/>
    <col min="3330" max="3330" width="18.28515625" style="98" customWidth="1"/>
    <col min="3331" max="3331" width="18.85546875" style="98" customWidth="1"/>
    <col min="3332" max="3332" width="16.5703125" style="98" customWidth="1"/>
    <col min="3333" max="3333" width="18.28515625" style="98" customWidth="1"/>
    <col min="3334" max="3334" width="17.5703125" style="98" customWidth="1"/>
    <col min="3335" max="3335" width="19" style="98" customWidth="1"/>
    <col min="3336" max="3584" width="8.7109375" style="98"/>
    <col min="3585" max="3585" width="10.85546875" style="98" customWidth="1"/>
    <col min="3586" max="3586" width="18.28515625" style="98" customWidth="1"/>
    <col min="3587" max="3587" width="18.85546875" style="98" customWidth="1"/>
    <col min="3588" max="3588" width="16.5703125" style="98" customWidth="1"/>
    <col min="3589" max="3589" width="18.28515625" style="98" customWidth="1"/>
    <col min="3590" max="3590" width="17.5703125" style="98" customWidth="1"/>
    <col min="3591" max="3591" width="19" style="98" customWidth="1"/>
    <col min="3592" max="3840" width="8.7109375" style="98"/>
    <col min="3841" max="3841" width="10.85546875" style="98" customWidth="1"/>
    <col min="3842" max="3842" width="18.28515625" style="98" customWidth="1"/>
    <col min="3843" max="3843" width="18.85546875" style="98" customWidth="1"/>
    <col min="3844" max="3844" width="16.5703125" style="98" customWidth="1"/>
    <col min="3845" max="3845" width="18.28515625" style="98" customWidth="1"/>
    <col min="3846" max="3846" width="17.5703125" style="98" customWidth="1"/>
    <col min="3847" max="3847" width="19" style="98" customWidth="1"/>
    <col min="3848" max="4096" width="8.7109375" style="98"/>
    <col min="4097" max="4097" width="10.85546875" style="98" customWidth="1"/>
    <col min="4098" max="4098" width="18.28515625" style="98" customWidth="1"/>
    <col min="4099" max="4099" width="18.85546875" style="98" customWidth="1"/>
    <col min="4100" max="4100" width="16.5703125" style="98" customWidth="1"/>
    <col min="4101" max="4101" width="18.28515625" style="98" customWidth="1"/>
    <col min="4102" max="4102" width="17.5703125" style="98" customWidth="1"/>
    <col min="4103" max="4103" width="19" style="98" customWidth="1"/>
    <col min="4104" max="4352" width="8.7109375" style="98"/>
    <col min="4353" max="4353" width="10.85546875" style="98" customWidth="1"/>
    <col min="4354" max="4354" width="18.28515625" style="98" customWidth="1"/>
    <col min="4355" max="4355" width="18.85546875" style="98" customWidth="1"/>
    <col min="4356" max="4356" width="16.5703125" style="98" customWidth="1"/>
    <col min="4357" max="4357" width="18.28515625" style="98" customWidth="1"/>
    <col min="4358" max="4358" width="17.5703125" style="98" customWidth="1"/>
    <col min="4359" max="4359" width="19" style="98" customWidth="1"/>
    <col min="4360" max="4608" width="8.7109375" style="98"/>
    <col min="4609" max="4609" width="10.85546875" style="98" customWidth="1"/>
    <col min="4610" max="4610" width="18.28515625" style="98" customWidth="1"/>
    <col min="4611" max="4611" width="18.85546875" style="98" customWidth="1"/>
    <col min="4612" max="4612" width="16.5703125" style="98" customWidth="1"/>
    <col min="4613" max="4613" width="18.28515625" style="98" customWidth="1"/>
    <col min="4614" max="4614" width="17.5703125" style="98" customWidth="1"/>
    <col min="4615" max="4615" width="19" style="98" customWidth="1"/>
    <col min="4616" max="4864" width="8.7109375" style="98"/>
    <col min="4865" max="4865" width="10.85546875" style="98" customWidth="1"/>
    <col min="4866" max="4866" width="18.28515625" style="98" customWidth="1"/>
    <col min="4867" max="4867" width="18.85546875" style="98" customWidth="1"/>
    <col min="4868" max="4868" width="16.5703125" style="98" customWidth="1"/>
    <col min="4869" max="4869" width="18.28515625" style="98" customWidth="1"/>
    <col min="4870" max="4870" width="17.5703125" style="98" customWidth="1"/>
    <col min="4871" max="4871" width="19" style="98" customWidth="1"/>
    <col min="4872" max="5120" width="8.7109375" style="98"/>
    <col min="5121" max="5121" width="10.85546875" style="98" customWidth="1"/>
    <col min="5122" max="5122" width="18.28515625" style="98" customWidth="1"/>
    <col min="5123" max="5123" width="18.85546875" style="98" customWidth="1"/>
    <col min="5124" max="5124" width="16.5703125" style="98" customWidth="1"/>
    <col min="5125" max="5125" width="18.28515625" style="98" customWidth="1"/>
    <col min="5126" max="5126" width="17.5703125" style="98" customWidth="1"/>
    <col min="5127" max="5127" width="19" style="98" customWidth="1"/>
    <col min="5128" max="5376" width="8.7109375" style="98"/>
    <col min="5377" max="5377" width="10.85546875" style="98" customWidth="1"/>
    <col min="5378" max="5378" width="18.28515625" style="98" customWidth="1"/>
    <col min="5379" max="5379" width="18.85546875" style="98" customWidth="1"/>
    <col min="5380" max="5380" width="16.5703125" style="98" customWidth="1"/>
    <col min="5381" max="5381" width="18.28515625" style="98" customWidth="1"/>
    <col min="5382" max="5382" width="17.5703125" style="98" customWidth="1"/>
    <col min="5383" max="5383" width="19" style="98" customWidth="1"/>
    <col min="5384" max="5632" width="8.7109375" style="98"/>
    <col min="5633" max="5633" width="10.85546875" style="98" customWidth="1"/>
    <col min="5634" max="5634" width="18.28515625" style="98" customWidth="1"/>
    <col min="5635" max="5635" width="18.85546875" style="98" customWidth="1"/>
    <col min="5636" max="5636" width="16.5703125" style="98" customWidth="1"/>
    <col min="5637" max="5637" width="18.28515625" style="98" customWidth="1"/>
    <col min="5638" max="5638" width="17.5703125" style="98" customWidth="1"/>
    <col min="5639" max="5639" width="19" style="98" customWidth="1"/>
    <col min="5640" max="5888" width="8.7109375" style="98"/>
    <col min="5889" max="5889" width="10.85546875" style="98" customWidth="1"/>
    <col min="5890" max="5890" width="18.28515625" style="98" customWidth="1"/>
    <col min="5891" max="5891" width="18.85546875" style="98" customWidth="1"/>
    <col min="5892" max="5892" width="16.5703125" style="98" customWidth="1"/>
    <col min="5893" max="5893" width="18.28515625" style="98" customWidth="1"/>
    <col min="5894" max="5894" width="17.5703125" style="98" customWidth="1"/>
    <col min="5895" max="5895" width="19" style="98" customWidth="1"/>
    <col min="5896" max="6144" width="8.7109375" style="98"/>
    <col min="6145" max="6145" width="10.85546875" style="98" customWidth="1"/>
    <col min="6146" max="6146" width="18.28515625" style="98" customWidth="1"/>
    <col min="6147" max="6147" width="18.85546875" style="98" customWidth="1"/>
    <col min="6148" max="6148" width="16.5703125" style="98" customWidth="1"/>
    <col min="6149" max="6149" width="18.28515625" style="98" customWidth="1"/>
    <col min="6150" max="6150" width="17.5703125" style="98" customWidth="1"/>
    <col min="6151" max="6151" width="19" style="98" customWidth="1"/>
    <col min="6152" max="6400" width="8.7109375" style="98"/>
    <col min="6401" max="6401" width="10.85546875" style="98" customWidth="1"/>
    <col min="6402" max="6402" width="18.28515625" style="98" customWidth="1"/>
    <col min="6403" max="6403" width="18.85546875" style="98" customWidth="1"/>
    <col min="6404" max="6404" width="16.5703125" style="98" customWidth="1"/>
    <col min="6405" max="6405" width="18.28515625" style="98" customWidth="1"/>
    <col min="6406" max="6406" width="17.5703125" style="98" customWidth="1"/>
    <col min="6407" max="6407" width="19" style="98" customWidth="1"/>
    <col min="6408" max="6656" width="8.7109375" style="98"/>
    <col min="6657" max="6657" width="10.85546875" style="98" customWidth="1"/>
    <col min="6658" max="6658" width="18.28515625" style="98" customWidth="1"/>
    <col min="6659" max="6659" width="18.85546875" style="98" customWidth="1"/>
    <col min="6660" max="6660" width="16.5703125" style="98" customWidth="1"/>
    <col min="6661" max="6661" width="18.28515625" style="98" customWidth="1"/>
    <col min="6662" max="6662" width="17.5703125" style="98" customWidth="1"/>
    <col min="6663" max="6663" width="19" style="98" customWidth="1"/>
    <col min="6664" max="6912" width="8.7109375" style="98"/>
    <col min="6913" max="6913" width="10.85546875" style="98" customWidth="1"/>
    <col min="6914" max="6914" width="18.28515625" style="98" customWidth="1"/>
    <col min="6915" max="6915" width="18.85546875" style="98" customWidth="1"/>
    <col min="6916" max="6916" width="16.5703125" style="98" customWidth="1"/>
    <col min="6917" max="6917" width="18.28515625" style="98" customWidth="1"/>
    <col min="6918" max="6918" width="17.5703125" style="98" customWidth="1"/>
    <col min="6919" max="6919" width="19" style="98" customWidth="1"/>
    <col min="6920" max="7168" width="8.7109375" style="98"/>
    <col min="7169" max="7169" width="10.85546875" style="98" customWidth="1"/>
    <col min="7170" max="7170" width="18.28515625" style="98" customWidth="1"/>
    <col min="7171" max="7171" width="18.85546875" style="98" customWidth="1"/>
    <col min="7172" max="7172" width="16.5703125" style="98" customWidth="1"/>
    <col min="7173" max="7173" width="18.28515625" style="98" customWidth="1"/>
    <col min="7174" max="7174" width="17.5703125" style="98" customWidth="1"/>
    <col min="7175" max="7175" width="19" style="98" customWidth="1"/>
    <col min="7176" max="7424" width="8.7109375" style="98"/>
    <col min="7425" max="7425" width="10.85546875" style="98" customWidth="1"/>
    <col min="7426" max="7426" width="18.28515625" style="98" customWidth="1"/>
    <col min="7427" max="7427" width="18.85546875" style="98" customWidth="1"/>
    <col min="7428" max="7428" width="16.5703125" style="98" customWidth="1"/>
    <col min="7429" max="7429" width="18.28515625" style="98" customWidth="1"/>
    <col min="7430" max="7430" width="17.5703125" style="98" customWidth="1"/>
    <col min="7431" max="7431" width="19" style="98" customWidth="1"/>
    <col min="7432" max="7680" width="8.7109375" style="98"/>
    <col min="7681" max="7681" width="10.85546875" style="98" customWidth="1"/>
    <col min="7682" max="7682" width="18.28515625" style="98" customWidth="1"/>
    <col min="7683" max="7683" width="18.85546875" style="98" customWidth="1"/>
    <col min="7684" max="7684" width="16.5703125" style="98" customWidth="1"/>
    <col min="7685" max="7685" width="18.28515625" style="98" customWidth="1"/>
    <col min="7686" max="7686" width="17.5703125" style="98" customWidth="1"/>
    <col min="7687" max="7687" width="19" style="98" customWidth="1"/>
    <col min="7688" max="7936" width="8.7109375" style="98"/>
    <col min="7937" max="7937" width="10.85546875" style="98" customWidth="1"/>
    <col min="7938" max="7938" width="18.28515625" style="98" customWidth="1"/>
    <col min="7939" max="7939" width="18.85546875" style="98" customWidth="1"/>
    <col min="7940" max="7940" width="16.5703125" style="98" customWidth="1"/>
    <col min="7941" max="7941" width="18.28515625" style="98" customWidth="1"/>
    <col min="7942" max="7942" width="17.5703125" style="98" customWidth="1"/>
    <col min="7943" max="7943" width="19" style="98" customWidth="1"/>
    <col min="7944" max="8192" width="8.7109375" style="98"/>
    <col min="8193" max="8193" width="10.85546875" style="98" customWidth="1"/>
    <col min="8194" max="8194" width="18.28515625" style="98" customWidth="1"/>
    <col min="8195" max="8195" width="18.85546875" style="98" customWidth="1"/>
    <col min="8196" max="8196" width="16.5703125" style="98" customWidth="1"/>
    <col min="8197" max="8197" width="18.28515625" style="98" customWidth="1"/>
    <col min="8198" max="8198" width="17.5703125" style="98" customWidth="1"/>
    <col min="8199" max="8199" width="19" style="98" customWidth="1"/>
    <col min="8200" max="8448" width="8.7109375" style="98"/>
    <col min="8449" max="8449" width="10.85546875" style="98" customWidth="1"/>
    <col min="8450" max="8450" width="18.28515625" style="98" customWidth="1"/>
    <col min="8451" max="8451" width="18.85546875" style="98" customWidth="1"/>
    <col min="8452" max="8452" width="16.5703125" style="98" customWidth="1"/>
    <col min="8453" max="8453" width="18.28515625" style="98" customWidth="1"/>
    <col min="8454" max="8454" width="17.5703125" style="98" customWidth="1"/>
    <col min="8455" max="8455" width="19" style="98" customWidth="1"/>
    <col min="8456" max="8704" width="8.7109375" style="98"/>
    <col min="8705" max="8705" width="10.85546875" style="98" customWidth="1"/>
    <col min="8706" max="8706" width="18.28515625" style="98" customWidth="1"/>
    <col min="8707" max="8707" width="18.85546875" style="98" customWidth="1"/>
    <col min="8708" max="8708" width="16.5703125" style="98" customWidth="1"/>
    <col min="8709" max="8709" width="18.28515625" style="98" customWidth="1"/>
    <col min="8710" max="8710" width="17.5703125" style="98" customWidth="1"/>
    <col min="8711" max="8711" width="19" style="98" customWidth="1"/>
    <col min="8712" max="8960" width="8.7109375" style="98"/>
    <col min="8961" max="8961" width="10.85546875" style="98" customWidth="1"/>
    <col min="8962" max="8962" width="18.28515625" style="98" customWidth="1"/>
    <col min="8963" max="8963" width="18.85546875" style="98" customWidth="1"/>
    <col min="8964" max="8964" width="16.5703125" style="98" customWidth="1"/>
    <col min="8965" max="8965" width="18.28515625" style="98" customWidth="1"/>
    <col min="8966" max="8966" width="17.5703125" style="98" customWidth="1"/>
    <col min="8967" max="8967" width="19" style="98" customWidth="1"/>
    <col min="8968" max="9216" width="8.7109375" style="98"/>
    <col min="9217" max="9217" width="10.85546875" style="98" customWidth="1"/>
    <col min="9218" max="9218" width="18.28515625" style="98" customWidth="1"/>
    <col min="9219" max="9219" width="18.85546875" style="98" customWidth="1"/>
    <col min="9220" max="9220" width="16.5703125" style="98" customWidth="1"/>
    <col min="9221" max="9221" width="18.28515625" style="98" customWidth="1"/>
    <col min="9222" max="9222" width="17.5703125" style="98" customWidth="1"/>
    <col min="9223" max="9223" width="19" style="98" customWidth="1"/>
    <col min="9224" max="9472" width="8.7109375" style="98"/>
    <col min="9473" max="9473" width="10.85546875" style="98" customWidth="1"/>
    <col min="9474" max="9474" width="18.28515625" style="98" customWidth="1"/>
    <col min="9475" max="9475" width="18.85546875" style="98" customWidth="1"/>
    <col min="9476" max="9476" width="16.5703125" style="98" customWidth="1"/>
    <col min="9477" max="9477" width="18.28515625" style="98" customWidth="1"/>
    <col min="9478" max="9478" width="17.5703125" style="98" customWidth="1"/>
    <col min="9479" max="9479" width="19" style="98" customWidth="1"/>
    <col min="9480" max="9728" width="8.7109375" style="98"/>
    <col min="9729" max="9729" width="10.85546875" style="98" customWidth="1"/>
    <col min="9730" max="9730" width="18.28515625" style="98" customWidth="1"/>
    <col min="9731" max="9731" width="18.85546875" style="98" customWidth="1"/>
    <col min="9732" max="9732" width="16.5703125" style="98" customWidth="1"/>
    <col min="9733" max="9733" width="18.28515625" style="98" customWidth="1"/>
    <col min="9734" max="9734" width="17.5703125" style="98" customWidth="1"/>
    <col min="9735" max="9735" width="19" style="98" customWidth="1"/>
    <col min="9736" max="9984" width="8.7109375" style="98"/>
    <col min="9985" max="9985" width="10.85546875" style="98" customWidth="1"/>
    <col min="9986" max="9986" width="18.28515625" style="98" customWidth="1"/>
    <col min="9987" max="9987" width="18.85546875" style="98" customWidth="1"/>
    <col min="9988" max="9988" width="16.5703125" style="98" customWidth="1"/>
    <col min="9989" max="9989" width="18.28515625" style="98" customWidth="1"/>
    <col min="9990" max="9990" width="17.5703125" style="98" customWidth="1"/>
    <col min="9991" max="9991" width="19" style="98" customWidth="1"/>
    <col min="9992" max="10240" width="8.7109375" style="98"/>
    <col min="10241" max="10241" width="10.85546875" style="98" customWidth="1"/>
    <col min="10242" max="10242" width="18.28515625" style="98" customWidth="1"/>
    <col min="10243" max="10243" width="18.85546875" style="98" customWidth="1"/>
    <col min="10244" max="10244" width="16.5703125" style="98" customWidth="1"/>
    <col min="10245" max="10245" width="18.28515625" style="98" customWidth="1"/>
    <col min="10246" max="10246" width="17.5703125" style="98" customWidth="1"/>
    <col min="10247" max="10247" width="19" style="98" customWidth="1"/>
    <col min="10248" max="10496" width="8.7109375" style="98"/>
    <col min="10497" max="10497" width="10.85546875" style="98" customWidth="1"/>
    <col min="10498" max="10498" width="18.28515625" style="98" customWidth="1"/>
    <col min="10499" max="10499" width="18.85546875" style="98" customWidth="1"/>
    <col min="10500" max="10500" width="16.5703125" style="98" customWidth="1"/>
    <col min="10501" max="10501" width="18.28515625" style="98" customWidth="1"/>
    <col min="10502" max="10502" width="17.5703125" style="98" customWidth="1"/>
    <col min="10503" max="10503" width="19" style="98" customWidth="1"/>
    <col min="10504" max="10752" width="8.7109375" style="98"/>
    <col min="10753" max="10753" width="10.85546875" style="98" customWidth="1"/>
    <col min="10754" max="10754" width="18.28515625" style="98" customWidth="1"/>
    <col min="10755" max="10755" width="18.85546875" style="98" customWidth="1"/>
    <col min="10756" max="10756" width="16.5703125" style="98" customWidth="1"/>
    <col min="10757" max="10757" width="18.28515625" style="98" customWidth="1"/>
    <col min="10758" max="10758" width="17.5703125" style="98" customWidth="1"/>
    <col min="10759" max="10759" width="19" style="98" customWidth="1"/>
    <col min="10760" max="11008" width="8.7109375" style="98"/>
    <col min="11009" max="11009" width="10.85546875" style="98" customWidth="1"/>
    <col min="11010" max="11010" width="18.28515625" style="98" customWidth="1"/>
    <col min="11011" max="11011" width="18.85546875" style="98" customWidth="1"/>
    <col min="11012" max="11012" width="16.5703125" style="98" customWidth="1"/>
    <col min="11013" max="11013" width="18.28515625" style="98" customWidth="1"/>
    <col min="11014" max="11014" width="17.5703125" style="98" customWidth="1"/>
    <col min="11015" max="11015" width="19" style="98" customWidth="1"/>
    <col min="11016" max="11264" width="8.7109375" style="98"/>
    <col min="11265" max="11265" width="10.85546875" style="98" customWidth="1"/>
    <col min="11266" max="11266" width="18.28515625" style="98" customWidth="1"/>
    <col min="11267" max="11267" width="18.85546875" style="98" customWidth="1"/>
    <col min="11268" max="11268" width="16.5703125" style="98" customWidth="1"/>
    <col min="11269" max="11269" width="18.28515625" style="98" customWidth="1"/>
    <col min="11270" max="11270" width="17.5703125" style="98" customWidth="1"/>
    <col min="11271" max="11271" width="19" style="98" customWidth="1"/>
    <col min="11272" max="11520" width="8.7109375" style="98"/>
    <col min="11521" max="11521" width="10.85546875" style="98" customWidth="1"/>
    <col min="11522" max="11522" width="18.28515625" style="98" customWidth="1"/>
    <col min="11523" max="11523" width="18.85546875" style="98" customWidth="1"/>
    <col min="11524" max="11524" width="16.5703125" style="98" customWidth="1"/>
    <col min="11525" max="11525" width="18.28515625" style="98" customWidth="1"/>
    <col min="11526" max="11526" width="17.5703125" style="98" customWidth="1"/>
    <col min="11527" max="11527" width="19" style="98" customWidth="1"/>
    <col min="11528" max="11776" width="8.7109375" style="98"/>
    <col min="11777" max="11777" width="10.85546875" style="98" customWidth="1"/>
    <col min="11778" max="11778" width="18.28515625" style="98" customWidth="1"/>
    <col min="11779" max="11779" width="18.85546875" style="98" customWidth="1"/>
    <col min="11780" max="11780" width="16.5703125" style="98" customWidth="1"/>
    <col min="11781" max="11781" width="18.28515625" style="98" customWidth="1"/>
    <col min="11782" max="11782" width="17.5703125" style="98" customWidth="1"/>
    <col min="11783" max="11783" width="19" style="98" customWidth="1"/>
    <col min="11784" max="12032" width="8.7109375" style="98"/>
    <col min="12033" max="12033" width="10.85546875" style="98" customWidth="1"/>
    <col min="12034" max="12034" width="18.28515625" style="98" customWidth="1"/>
    <col min="12035" max="12035" width="18.85546875" style="98" customWidth="1"/>
    <col min="12036" max="12036" width="16.5703125" style="98" customWidth="1"/>
    <col min="12037" max="12037" width="18.28515625" style="98" customWidth="1"/>
    <col min="12038" max="12038" width="17.5703125" style="98" customWidth="1"/>
    <col min="12039" max="12039" width="19" style="98" customWidth="1"/>
    <col min="12040" max="12288" width="8.7109375" style="98"/>
    <col min="12289" max="12289" width="10.85546875" style="98" customWidth="1"/>
    <col min="12290" max="12290" width="18.28515625" style="98" customWidth="1"/>
    <col min="12291" max="12291" width="18.85546875" style="98" customWidth="1"/>
    <col min="12292" max="12292" width="16.5703125" style="98" customWidth="1"/>
    <col min="12293" max="12293" width="18.28515625" style="98" customWidth="1"/>
    <col min="12294" max="12294" width="17.5703125" style="98" customWidth="1"/>
    <col min="12295" max="12295" width="19" style="98" customWidth="1"/>
    <col min="12296" max="12544" width="8.7109375" style="98"/>
    <col min="12545" max="12545" width="10.85546875" style="98" customWidth="1"/>
    <col min="12546" max="12546" width="18.28515625" style="98" customWidth="1"/>
    <col min="12547" max="12547" width="18.85546875" style="98" customWidth="1"/>
    <col min="12548" max="12548" width="16.5703125" style="98" customWidth="1"/>
    <col min="12549" max="12549" width="18.28515625" style="98" customWidth="1"/>
    <col min="12550" max="12550" width="17.5703125" style="98" customWidth="1"/>
    <col min="12551" max="12551" width="19" style="98" customWidth="1"/>
    <col min="12552" max="12800" width="8.7109375" style="98"/>
    <col min="12801" max="12801" width="10.85546875" style="98" customWidth="1"/>
    <col min="12802" max="12802" width="18.28515625" style="98" customWidth="1"/>
    <col min="12803" max="12803" width="18.85546875" style="98" customWidth="1"/>
    <col min="12804" max="12804" width="16.5703125" style="98" customWidth="1"/>
    <col min="12805" max="12805" width="18.28515625" style="98" customWidth="1"/>
    <col min="12806" max="12806" width="17.5703125" style="98" customWidth="1"/>
    <col min="12807" max="12807" width="19" style="98" customWidth="1"/>
    <col min="12808" max="13056" width="8.7109375" style="98"/>
    <col min="13057" max="13057" width="10.85546875" style="98" customWidth="1"/>
    <col min="13058" max="13058" width="18.28515625" style="98" customWidth="1"/>
    <col min="13059" max="13059" width="18.85546875" style="98" customWidth="1"/>
    <col min="13060" max="13060" width="16.5703125" style="98" customWidth="1"/>
    <col min="13061" max="13061" width="18.28515625" style="98" customWidth="1"/>
    <col min="13062" max="13062" width="17.5703125" style="98" customWidth="1"/>
    <col min="13063" max="13063" width="19" style="98" customWidth="1"/>
    <col min="13064" max="13312" width="8.7109375" style="98"/>
    <col min="13313" max="13313" width="10.85546875" style="98" customWidth="1"/>
    <col min="13314" max="13314" width="18.28515625" style="98" customWidth="1"/>
    <col min="13315" max="13315" width="18.85546875" style="98" customWidth="1"/>
    <col min="13316" max="13316" width="16.5703125" style="98" customWidth="1"/>
    <col min="13317" max="13317" width="18.28515625" style="98" customWidth="1"/>
    <col min="13318" max="13318" width="17.5703125" style="98" customWidth="1"/>
    <col min="13319" max="13319" width="19" style="98" customWidth="1"/>
    <col min="13320" max="13568" width="8.7109375" style="98"/>
    <col min="13569" max="13569" width="10.85546875" style="98" customWidth="1"/>
    <col min="13570" max="13570" width="18.28515625" style="98" customWidth="1"/>
    <col min="13571" max="13571" width="18.85546875" style="98" customWidth="1"/>
    <col min="13572" max="13572" width="16.5703125" style="98" customWidth="1"/>
    <col min="13573" max="13573" width="18.28515625" style="98" customWidth="1"/>
    <col min="13574" max="13574" width="17.5703125" style="98" customWidth="1"/>
    <col min="13575" max="13575" width="19" style="98" customWidth="1"/>
    <col min="13576" max="13824" width="8.7109375" style="98"/>
    <col min="13825" max="13825" width="10.85546875" style="98" customWidth="1"/>
    <col min="13826" max="13826" width="18.28515625" style="98" customWidth="1"/>
    <col min="13827" max="13827" width="18.85546875" style="98" customWidth="1"/>
    <col min="13828" max="13828" width="16.5703125" style="98" customWidth="1"/>
    <col min="13829" max="13829" width="18.28515625" style="98" customWidth="1"/>
    <col min="13830" max="13830" width="17.5703125" style="98" customWidth="1"/>
    <col min="13831" max="13831" width="19" style="98" customWidth="1"/>
    <col min="13832" max="14080" width="8.7109375" style="98"/>
    <col min="14081" max="14081" width="10.85546875" style="98" customWidth="1"/>
    <col min="14082" max="14082" width="18.28515625" style="98" customWidth="1"/>
    <col min="14083" max="14083" width="18.85546875" style="98" customWidth="1"/>
    <col min="14084" max="14084" width="16.5703125" style="98" customWidth="1"/>
    <col min="14085" max="14085" width="18.28515625" style="98" customWidth="1"/>
    <col min="14086" max="14086" width="17.5703125" style="98" customWidth="1"/>
    <col min="14087" max="14087" width="19" style="98" customWidth="1"/>
    <col min="14088" max="14336" width="8.7109375" style="98"/>
    <col min="14337" max="14337" width="10.85546875" style="98" customWidth="1"/>
    <col min="14338" max="14338" width="18.28515625" style="98" customWidth="1"/>
    <col min="14339" max="14339" width="18.85546875" style="98" customWidth="1"/>
    <col min="14340" max="14340" width="16.5703125" style="98" customWidth="1"/>
    <col min="14341" max="14341" width="18.28515625" style="98" customWidth="1"/>
    <col min="14342" max="14342" width="17.5703125" style="98" customWidth="1"/>
    <col min="14343" max="14343" width="19" style="98" customWidth="1"/>
    <col min="14344" max="14592" width="8.7109375" style="98"/>
    <col min="14593" max="14593" width="10.85546875" style="98" customWidth="1"/>
    <col min="14594" max="14594" width="18.28515625" style="98" customWidth="1"/>
    <col min="14595" max="14595" width="18.85546875" style="98" customWidth="1"/>
    <col min="14596" max="14596" width="16.5703125" style="98" customWidth="1"/>
    <col min="14597" max="14597" width="18.28515625" style="98" customWidth="1"/>
    <col min="14598" max="14598" width="17.5703125" style="98" customWidth="1"/>
    <col min="14599" max="14599" width="19" style="98" customWidth="1"/>
    <col min="14600" max="14848" width="8.7109375" style="98"/>
    <col min="14849" max="14849" width="10.85546875" style="98" customWidth="1"/>
    <col min="14850" max="14850" width="18.28515625" style="98" customWidth="1"/>
    <col min="14851" max="14851" width="18.85546875" style="98" customWidth="1"/>
    <col min="14852" max="14852" width="16.5703125" style="98" customWidth="1"/>
    <col min="14853" max="14853" width="18.28515625" style="98" customWidth="1"/>
    <col min="14854" max="14854" width="17.5703125" style="98" customWidth="1"/>
    <col min="14855" max="14855" width="19" style="98" customWidth="1"/>
    <col min="14856" max="15104" width="8.7109375" style="98"/>
    <col min="15105" max="15105" width="10.85546875" style="98" customWidth="1"/>
    <col min="15106" max="15106" width="18.28515625" style="98" customWidth="1"/>
    <col min="15107" max="15107" width="18.85546875" style="98" customWidth="1"/>
    <col min="15108" max="15108" width="16.5703125" style="98" customWidth="1"/>
    <col min="15109" max="15109" width="18.28515625" style="98" customWidth="1"/>
    <col min="15110" max="15110" width="17.5703125" style="98" customWidth="1"/>
    <col min="15111" max="15111" width="19" style="98" customWidth="1"/>
    <col min="15112" max="15360" width="8.7109375" style="98"/>
    <col min="15361" max="15361" width="10.85546875" style="98" customWidth="1"/>
    <col min="15362" max="15362" width="18.28515625" style="98" customWidth="1"/>
    <col min="15363" max="15363" width="18.85546875" style="98" customWidth="1"/>
    <col min="15364" max="15364" width="16.5703125" style="98" customWidth="1"/>
    <col min="15365" max="15365" width="18.28515625" style="98" customWidth="1"/>
    <col min="15366" max="15366" width="17.5703125" style="98" customWidth="1"/>
    <col min="15367" max="15367" width="19" style="98" customWidth="1"/>
    <col min="15368" max="15616" width="8.7109375" style="98"/>
    <col min="15617" max="15617" width="10.85546875" style="98" customWidth="1"/>
    <col min="15618" max="15618" width="18.28515625" style="98" customWidth="1"/>
    <col min="15619" max="15619" width="18.85546875" style="98" customWidth="1"/>
    <col min="15620" max="15620" width="16.5703125" style="98" customWidth="1"/>
    <col min="15621" max="15621" width="18.28515625" style="98" customWidth="1"/>
    <col min="15622" max="15622" width="17.5703125" style="98" customWidth="1"/>
    <col min="15623" max="15623" width="19" style="98" customWidth="1"/>
    <col min="15624" max="15872" width="8.7109375" style="98"/>
    <col min="15873" max="15873" width="10.85546875" style="98" customWidth="1"/>
    <col min="15874" max="15874" width="18.28515625" style="98" customWidth="1"/>
    <col min="15875" max="15875" width="18.85546875" style="98" customWidth="1"/>
    <col min="15876" max="15876" width="16.5703125" style="98" customWidth="1"/>
    <col min="15877" max="15877" width="18.28515625" style="98" customWidth="1"/>
    <col min="15878" max="15878" width="17.5703125" style="98" customWidth="1"/>
    <col min="15879" max="15879" width="19" style="98" customWidth="1"/>
    <col min="15880" max="16128" width="8.7109375" style="98"/>
    <col min="16129" max="16129" width="10.85546875" style="98" customWidth="1"/>
    <col min="16130" max="16130" width="18.28515625" style="98" customWidth="1"/>
    <col min="16131" max="16131" width="18.85546875" style="98" customWidth="1"/>
    <col min="16132" max="16132" width="16.5703125" style="98" customWidth="1"/>
    <col min="16133" max="16133" width="18.28515625" style="98" customWidth="1"/>
    <col min="16134" max="16134" width="17.5703125" style="98" customWidth="1"/>
    <col min="16135" max="16135" width="19" style="98" customWidth="1"/>
    <col min="16136" max="16384" width="8.7109375" style="98"/>
  </cols>
  <sheetData>
    <row r="2" spans="1:12" x14ac:dyDescent="0.2">
      <c r="A2" s="218" t="s">
        <v>198</v>
      </c>
      <c r="B2" s="218"/>
      <c r="C2" s="218"/>
      <c r="D2" s="218"/>
      <c r="E2" s="218"/>
      <c r="F2" s="218"/>
    </row>
    <row r="3" spans="1:12" ht="22.5" customHeight="1" x14ac:dyDescent="0.2">
      <c r="A3" s="216" t="s">
        <v>199</v>
      </c>
      <c r="B3" s="216"/>
      <c r="C3" s="216"/>
      <c r="D3" s="216"/>
      <c r="E3" s="216"/>
      <c r="F3" s="216"/>
    </row>
    <row r="4" spans="1:12" ht="25.5" customHeight="1" x14ac:dyDescent="0.2">
      <c r="A4" s="215" t="s">
        <v>200</v>
      </c>
      <c r="B4" s="216"/>
      <c r="C4" s="216"/>
      <c r="D4" s="216"/>
      <c r="E4" s="216"/>
      <c r="F4" s="217"/>
    </row>
    <row r="5" spans="1:12" ht="31.5" x14ac:dyDescent="0.25">
      <c r="A5" s="219" t="s">
        <v>201</v>
      </c>
      <c r="B5" s="100" t="s">
        <v>202</v>
      </c>
      <c r="C5" s="101" t="s">
        <v>203</v>
      </c>
      <c r="D5" s="101" t="s">
        <v>204</v>
      </c>
      <c r="E5" s="101" t="s">
        <v>205</v>
      </c>
      <c r="F5" s="101" t="s">
        <v>206</v>
      </c>
      <c r="G5" s="98" t="s">
        <v>207</v>
      </c>
    </row>
    <row r="6" spans="1:12" ht="15.75" x14ac:dyDescent="0.25">
      <c r="A6" s="220"/>
      <c r="B6" s="103" t="s">
        <v>4</v>
      </c>
      <c r="C6" s="104" t="s">
        <v>208</v>
      </c>
      <c r="D6" s="104" t="s">
        <v>8</v>
      </c>
      <c r="E6" s="104" t="s">
        <v>209</v>
      </c>
      <c r="F6" s="104" t="s">
        <v>210</v>
      </c>
    </row>
    <row r="7" spans="1:12" ht="15.75" x14ac:dyDescent="0.25">
      <c r="A7" s="102"/>
      <c r="B7" s="105"/>
      <c r="C7" s="106">
        <f t="shared" ref="C7:C18" si="0">B7*1.65%</f>
        <v>0</v>
      </c>
      <c r="D7" s="107"/>
      <c r="E7" s="106">
        <f t="shared" ref="E7:E14" si="1">C7-D7</f>
        <v>0</v>
      </c>
      <c r="F7" s="108">
        <f>IFERROR(E7/B7,0)</f>
        <v>0</v>
      </c>
    </row>
    <row r="8" spans="1:12" ht="15.75" x14ac:dyDescent="0.25">
      <c r="A8" s="102"/>
      <c r="B8" s="109"/>
      <c r="C8" s="106">
        <f t="shared" si="0"/>
        <v>0</v>
      </c>
      <c r="D8" s="107"/>
      <c r="E8" s="106">
        <f t="shared" si="1"/>
        <v>0</v>
      </c>
      <c r="F8" s="108">
        <f t="shared" ref="F8:F18" si="2">IFERROR(E8/B8,0)</f>
        <v>0</v>
      </c>
    </row>
    <row r="9" spans="1:12" ht="15.75" x14ac:dyDescent="0.25">
      <c r="A9" s="102"/>
      <c r="B9" s="109"/>
      <c r="C9" s="106">
        <f t="shared" si="0"/>
        <v>0</v>
      </c>
      <c r="D9" s="107"/>
      <c r="E9" s="106">
        <f t="shared" si="1"/>
        <v>0</v>
      </c>
      <c r="F9" s="108">
        <f t="shared" si="2"/>
        <v>0</v>
      </c>
    </row>
    <row r="10" spans="1:12" ht="15.75" x14ac:dyDescent="0.25">
      <c r="A10" s="102"/>
      <c r="B10" s="109"/>
      <c r="C10" s="106">
        <f t="shared" si="0"/>
        <v>0</v>
      </c>
      <c r="D10" s="107"/>
      <c r="E10" s="106"/>
      <c r="F10" s="108">
        <f t="shared" si="2"/>
        <v>0</v>
      </c>
    </row>
    <row r="11" spans="1:12" ht="15.75" x14ac:dyDescent="0.25">
      <c r="A11" s="102"/>
      <c r="B11" s="109"/>
      <c r="C11" s="106">
        <f t="shared" si="0"/>
        <v>0</v>
      </c>
      <c r="D11" s="107"/>
      <c r="E11" s="106">
        <f t="shared" si="1"/>
        <v>0</v>
      </c>
      <c r="F11" s="108">
        <f t="shared" si="2"/>
        <v>0</v>
      </c>
    </row>
    <row r="12" spans="1:12" ht="15.75" x14ac:dyDescent="0.25">
      <c r="A12" s="102"/>
      <c r="B12" s="109"/>
      <c r="C12" s="106">
        <f t="shared" si="0"/>
        <v>0</v>
      </c>
      <c r="D12" s="107"/>
      <c r="E12" s="106">
        <f t="shared" si="1"/>
        <v>0</v>
      </c>
      <c r="F12" s="108">
        <f t="shared" si="2"/>
        <v>0</v>
      </c>
    </row>
    <row r="13" spans="1:12" ht="15.75" x14ac:dyDescent="0.25">
      <c r="A13" s="102"/>
      <c r="B13" s="109"/>
      <c r="C13" s="106">
        <f t="shared" si="0"/>
        <v>0</v>
      </c>
      <c r="D13" s="107"/>
      <c r="E13" s="106">
        <f t="shared" si="1"/>
        <v>0</v>
      </c>
      <c r="F13" s="108">
        <f t="shared" si="2"/>
        <v>0</v>
      </c>
      <c r="G13" s="110"/>
    </row>
    <row r="14" spans="1:12" ht="15.75" x14ac:dyDescent="0.25">
      <c r="A14" s="102"/>
      <c r="B14" s="109"/>
      <c r="C14" s="106">
        <f t="shared" si="0"/>
        <v>0</v>
      </c>
      <c r="D14" s="107"/>
      <c r="E14" s="106">
        <f t="shared" si="1"/>
        <v>0</v>
      </c>
      <c r="F14" s="108">
        <f t="shared" si="2"/>
        <v>0</v>
      </c>
      <c r="G14" s="110"/>
      <c r="K14" s="124"/>
      <c r="L14" s="124"/>
    </row>
    <row r="15" spans="1:12" ht="15.75" x14ac:dyDescent="0.25">
      <c r="A15" s="102"/>
      <c r="B15" s="109"/>
      <c r="C15" s="106">
        <f t="shared" si="0"/>
        <v>0</v>
      </c>
      <c r="D15" s="107"/>
      <c r="E15" s="106">
        <f>C15-D15</f>
        <v>0</v>
      </c>
      <c r="F15" s="108">
        <f t="shared" si="2"/>
        <v>0</v>
      </c>
    </row>
    <row r="16" spans="1:12" ht="15.75" x14ac:dyDescent="0.25">
      <c r="A16" s="102"/>
      <c r="B16" s="109"/>
      <c r="C16" s="106">
        <f t="shared" si="0"/>
        <v>0</v>
      </c>
      <c r="D16" s="107"/>
      <c r="E16" s="106">
        <f>C16-D16</f>
        <v>0</v>
      </c>
      <c r="F16" s="108">
        <f t="shared" si="2"/>
        <v>0</v>
      </c>
    </row>
    <row r="17" spans="1:6" ht="15.75" x14ac:dyDescent="0.25">
      <c r="A17" s="102"/>
      <c r="B17" s="109"/>
      <c r="C17" s="106">
        <f t="shared" si="0"/>
        <v>0</v>
      </c>
      <c r="D17" s="107"/>
      <c r="E17" s="106">
        <f>C17-D17</f>
        <v>0</v>
      </c>
      <c r="F17" s="108">
        <f t="shared" si="2"/>
        <v>0</v>
      </c>
    </row>
    <row r="18" spans="1:6" ht="15.75" x14ac:dyDescent="0.25">
      <c r="A18" s="102"/>
      <c r="B18" s="109"/>
      <c r="C18" s="106">
        <f t="shared" si="0"/>
        <v>0</v>
      </c>
      <c r="D18" s="107"/>
      <c r="E18" s="106">
        <f>C18-D18</f>
        <v>0</v>
      </c>
      <c r="F18" s="108">
        <f t="shared" si="2"/>
        <v>0</v>
      </c>
    </row>
    <row r="19" spans="1:6" ht="33.75" customHeight="1" x14ac:dyDescent="0.2">
      <c r="A19" s="221" t="s">
        <v>211</v>
      </c>
      <c r="B19" s="221"/>
      <c r="C19" s="221"/>
      <c r="D19" s="221"/>
      <c r="E19" s="221"/>
      <c r="F19" s="111">
        <f>AVERAGE(F7:F18)</f>
        <v>0</v>
      </c>
    </row>
    <row r="20" spans="1:6" ht="15.75" x14ac:dyDescent="0.25">
      <c r="A20" s="112"/>
      <c r="B20" s="113"/>
      <c r="C20" s="112"/>
      <c r="D20" s="112"/>
      <c r="E20" s="112"/>
      <c r="F20" s="112"/>
    </row>
    <row r="21" spans="1:6" ht="28.5" customHeight="1" x14ac:dyDescent="0.2">
      <c r="A21" s="215" t="s">
        <v>212</v>
      </c>
      <c r="B21" s="216"/>
      <c r="C21" s="216"/>
      <c r="D21" s="216"/>
      <c r="E21" s="216"/>
      <c r="F21" s="217"/>
    </row>
    <row r="22" spans="1:6" ht="31.5" x14ac:dyDescent="0.2">
      <c r="A22" s="99" t="s">
        <v>201</v>
      </c>
      <c r="B22" s="114" t="s">
        <v>202</v>
      </c>
      <c r="C22" s="99" t="s">
        <v>203</v>
      </c>
      <c r="D22" s="99" t="s">
        <v>204</v>
      </c>
      <c r="E22" s="99" t="s">
        <v>205</v>
      </c>
      <c r="F22" s="99" t="s">
        <v>206</v>
      </c>
    </row>
    <row r="23" spans="1:6" ht="15.75" x14ac:dyDescent="0.25">
      <c r="A23" s="115"/>
      <c r="B23" s="103" t="s">
        <v>4</v>
      </c>
      <c r="C23" s="104" t="s">
        <v>213</v>
      </c>
      <c r="D23" s="104" t="s">
        <v>8</v>
      </c>
      <c r="E23" s="104" t="s">
        <v>209</v>
      </c>
      <c r="F23" s="104" t="s">
        <v>210</v>
      </c>
    </row>
    <row r="24" spans="1:6" ht="15.75" x14ac:dyDescent="0.25">
      <c r="A24" s="102">
        <f>A6</f>
        <v>0</v>
      </c>
      <c r="B24" s="116">
        <f t="shared" ref="B24:B35" si="3">B7</f>
        <v>0</v>
      </c>
      <c r="C24" s="106">
        <f t="shared" ref="C24:C35" si="4">B24*7.6%</f>
        <v>0</v>
      </c>
      <c r="D24" s="107"/>
      <c r="E24" s="106">
        <f t="shared" ref="E24:E35" si="5">C24-D24</f>
        <v>0</v>
      </c>
      <c r="F24" s="108">
        <f t="shared" ref="F24:F35" si="6">IFERROR(E24/B24,0)</f>
        <v>0</v>
      </c>
    </row>
    <row r="25" spans="1:6" ht="15.75" x14ac:dyDescent="0.25">
      <c r="A25" s="102">
        <f t="shared" ref="A25:A35" si="7">A7</f>
        <v>0</v>
      </c>
      <c r="B25" s="109">
        <f t="shared" si="3"/>
        <v>0</v>
      </c>
      <c r="C25" s="106">
        <f t="shared" si="4"/>
        <v>0</v>
      </c>
      <c r="D25" s="107"/>
      <c r="E25" s="106">
        <f t="shared" si="5"/>
        <v>0</v>
      </c>
      <c r="F25" s="108">
        <f t="shared" si="6"/>
        <v>0</v>
      </c>
    </row>
    <row r="26" spans="1:6" ht="15.75" x14ac:dyDescent="0.25">
      <c r="A26" s="102">
        <f t="shared" si="7"/>
        <v>0</v>
      </c>
      <c r="B26" s="109">
        <f t="shared" si="3"/>
        <v>0</v>
      </c>
      <c r="C26" s="106">
        <f t="shared" si="4"/>
        <v>0</v>
      </c>
      <c r="D26" s="107"/>
      <c r="E26" s="106">
        <f t="shared" si="5"/>
        <v>0</v>
      </c>
      <c r="F26" s="108">
        <f t="shared" si="6"/>
        <v>0</v>
      </c>
    </row>
    <row r="27" spans="1:6" ht="15.75" x14ac:dyDescent="0.25">
      <c r="A27" s="102">
        <f t="shared" si="7"/>
        <v>0</v>
      </c>
      <c r="B27" s="109">
        <f t="shared" si="3"/>
        <v>0</v>
      </c>
      <c r="C27" s="106">
        <f t="shared" si="4"/>
        <v>0</v>
      </c>
      <c r="D27" s="107"/>
      <c r="E27" s="106">
        <f t="shared" si="5"/>
        <v>0</v>
      </c>
      <c r="F27" s="108">
        <f t="shared" si="6"/>
        <v>0</v>
      </c>
    </row>
    <row r="28" spans="1:6" ht="15.75" x14ac:dyDescent="0.25">
      <c r="A28" s="102">
        <f t="shared" si="7"/>
        <v>0</v>
      </c>
      <c r="B28" s="109">
        <f t="shared" si="3"/>
        <v>0</v>
      </c>
      <c r="C28" s="106">
        <f t="shared" si="4"/>
        <v>0</v>
      </c>
      <c r="D28" s="107"/>
      <c r="E28" s="106">
        <f t="shared" si="5"/>
        <v>0</v>
      </c>
      <c r="F28" s="108">
        <f t="shared" si="6"/>
        <v>0</v>
      </c>
    </row>
    <row r="29" spans="1:6" ht="15.75" x14ac:dyDescent="0.25">
      <c r="A29" s="102">
        <f t="shared" si="7"/>
        <v>0</v>
      </c>
      <c r="B29" s="109">
        <f t="shared" si="3"/>
        <v>0</v>
      </c>
      <c r="C29" s="106">
        <f t="shared" si="4"/>
        <v>0</v>
      </c>
      <c r="D29" s="107"/>
      <c r="E29" s="106">
        <f t="shared" si="5"/>
        <v>0</v>
      </c>
      <c r="F29" s="108">
        <f t="shared" si="6"/>
        <v>0</v>
      </c>
    </row>
    <row r="30" spans="1:6" ht="15.75" x14ac:dyDescent="0.25">
      <c r="A30" s="102">
        <f t="shared" si="7"/>
        <v>0</v>
      </c>
      <c r="B30" s="109">
        <f t="shared" si="3"/>
        <v>0</v>
      </c>
      <c r="C30" s="106">
        <f t="shared" si="4"/>
        <v>0</v>
      </c>
      <c r="D30" s="107"/>
      <c r="E30" s="106">
        <f t="shared" si="5"/>
        <v>0</v>
      </c>
      <c r="F30" s="108">
        <f t="shared" si="6"/>
        <v>0</v>
      </c>
    </row>
    <row r="31" spans="1:6" ht="15.75" x14ac:dyDescent="0.25">
      <c r="A31" s="102">
        <f t="shared" si="7"/>
        <v>0</v>
      </c>
      <c r="B31" s="109">
        <f t="shared" si="3"/>
        <v>0</v>
      </c>
      <c r="C31" s="106">
        <f t="shared" si="4"/>
        <v>0</v>
      </c>
      <c r="D31" s="107"/>
      <c r="E31" s="106">
        <f t="shared" si="5"/>
        <v>0</v>
      </c>
      <c r="F31" s="108">
        <f t="shared" si="6"/>
        <v>0</v>
      </c>
    </row>
    <row r="32" spans="1:6" ht="15.75" x14ac:dyDescent="0.25">
      <c r="A32" s="102">
        <f t="shared" si="7"/>
        <v>0</v>
      </c>
      <c r="B32" s="109">
        <f t="shared" si="3"/>
        <v>0</v>
      </c>
      <c r="C32" s="106">
        <f t="shared" si="4"/>
        <v>0</v>
      </c>
      <c r="D32" s="107"/>
      <c r="E32" s="106">
        <f t="shared" si="5"/>
        <v>0</v>
      </c>
      <c r="F32" s="108">
        <f t="shared" si="6"/>
        <v>0</v>
      </c>
    </row>
    <row r="33" spans="1:6" ht="15.75" x14ac:dyDescent="0.25">
      <c r="A33" s="102">
        <f t="shared" si="7"/>
        <v>0</v>
      </c>
      <c r="B33" s="109">
        <f t="shared" si="3"/>
        <v>0</v>
      </c>
      <c r="C33" s="106">
        <f t="shared" si="4"/>
        <v>0</v>
      </c>
      <c r="D33" s="107"/>
      <c r="E33" s="106">
        <f t="shared" si="5"/>
        <v>0</v>
      </c>
      <c r="F33" s="108">
        <f t="shared" si="6"/>
        <v>0</v>
      </c>
    </row>
    <row r="34" spans="1:6" ht="15.75" x14ac:dyDescent="0.25">
      <c r="A34" s="102">
        <f t="shared" si="7"/>
        <v>0</v>
      </c>
      <c r="B34" s="109">
        <f t="shared" si="3"/>
        <v>0</v>
      </c>
      <c r="C34" s="106">
        <f t="shared" si="4"/>
        <v>0</v>
      </c>
      <c r="D34" s="107"/>
      <c r="E34" s="106">
        <f t="shared" si="5"/>
        <v>0</v>
      </c>
      <c r="F34" s="108">
        <f t="shared" si="6"/>
        <v>0</v>
      </c>
    </row>
    <row r="35" spans="1:6" ht="15.75" x14ac:dyDescent="0.25">
      <c r="A35" s="102">
        <f t="shared" si="7"/>
        <v>0</v>
      </c>
      <c r="B35" s="109">
        <f t="shared" si="3"/>
        <v>0</v>
      </c>
      <c r="C35" s="106">
        <f t="shared" si="4"/>
        <v>0</v>
      </c>
      <c r="D35" s="107"/>
      <c r="E35" s="106">
        <f t="shared" si="5"/>
        <v>0</v>
      </c>
      <c r="F35" s="108">
        <f t="shared" si="6"/>
        <v>0</v>
      </c>
    </row>
    <row r="36" spans="1:6" ht="33" customHeight="1" x14ac:dyDescent="0.2">
      <c r="A36" s="221" t="s">
        <v>211</v>
      </c>
      <c r="B36" s="221"/>
      <c r="C36" s="221"/>
      <c r="D36" s="221"/>
      <c r="E36" s="221"/>
      <c r="F36" s="111">
        <f>AVERAGE(F24:F35)</f>
        <v>0</v>
      </c>
    </row>
    <row r="37" spans="1:6" ht="15.75" x14ac:dyDescent="0.25">
      <c r="A37" s="141"/>
      <c r="B37" s="141"/>
      <c r="C37" s="141"/>
      <c r="D37" s="141"/>
      <c r="E37" s="141"/>
      <c r="F37" s="117"/>
    </row>
    <row r="38" spans="1:6" ht="15.75" x14ac:dyDescent="0.25">
      <c r="A38" s="222"/>
      <c r="B38" s="222"/>
      <c r="C38" s="222"/>
      <c r="D38" s="222"/>
      <c r="E38" s="222"/>
      <c r="F38" s="222"/>
    </row>
    <row r="39" spans="1:6" ht="15.75" x14ac:dyDescent="0.25">
      <c r="A39" s="140"/>
      <c r="B39" s="140"/>
      <c r="C39" s="140"/>
      <c r="D39" s="140"/>
      <c r="E39" s="140"/>
      <c r="F39" s="140"/>
    </row>
    <row r="40" spans="1:6" ht="15.75" x14ac:dyDescent="0.25">
      <c r="A40" s="140"/>
      <c r="B40" s="140"/>
      <c r="C40" s="140"/>
      <c r="D40" s="140"/>
      <c r="E40" s="140"/>
      <c r="F40" s="140"/>
    </row>
    <row r="41" spans="1:6" ht="15.75" x14ac:dyDescent="0.25">
      <c r="A41" s="223"/>
      <c r="B41" s="223"/>
      <c r="C41" s="223"/>
      <c r="D41" s="223"/>
      <c r="E41" s="223"/>
      <c r="F41" s="223"/>
    </row>
    <row r="42" spans="1:6" ht="15.75" x14ac:dyDescent="0.25">
      <c r="A42" s="223"/>
      <c r="B42" s="223"/>
      <c r="C42" s="223"/>
      <c r="D42" s="223"/>
      <c r="E42" s="223"/>
      <c r="F42" s="223"/>
    </row>
    <row r="43" spans="1:6" ht="15.75" x14ac:dyDescent="0.25">
      <c r="A43" s="223"/>
      <c r="B43" s="223"/>
      <c r="C43" s="223"/>
      <c r="D43" s="223"/>
      <c r="E43" s="223"/>
      <c r="F43" s="223"/>
    </row>
    <row r="44" spans="1:6" s="118" customFormat="1" ht="15.75" x14ac:dyDescent="0.25">
      <c r="A44" s="141"/>
      <c r="B44" s="141"/>
      <c r="C44" s="141"/>
      <c r="D44" s="141"/>
      <c r="E44" s="141"/>
      <c r="F44" s="117"/>
    </row>
    <row r="45" spans="1:6" ht="15.75" x14ac:dyDescent="0.25">
      <c r="A45" s="119"/>
      <c r="B45" s="120"/>
      <c r="C45" s="119"/>
      <c r="D45" s="119"/>
      <c r="E45" s="119"/>
      <c r="F45" s="121">
        <f>F36+F19</f>
        <v>0</v>
      </c>
    </row>
  </sheetData>
  <mergeCells count="11">
    <mergeCell ref="A36:E36"/>
    <mergeCell ref="A38:F38"/>
    <mergeCell ref="A41:F41"/>
    <mergeCell ref="A42:F42"/>
    <mergeCell ref="A43:F43"/>
    <mergeCell ref="A21:F21"/>
    <mergeCell ref="A2:F2"/>
    <mergeCell ref="A3:F3"/>
    <mergeCell ref="A4:F4"/>
    <mergeCell ref="A5:A6"/>
    <mergeCell ref="A19:E19"/>
  </mergeCells>
  <pageMargins left="0.9055118110236221" right="0.51181102362204722" top="1.1811023622047245" bottom="0.78740157480314965" header="0.31496062992125984" footer="0.31496062992125984"/>
  <pageSetup paperSize="9" scale="8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I24" sqref="I24"/>
    </sheetView>
  </sheetViews>
  <sheetFormatPr defaultRowHeight="15" x14ac:dyDescent="0.25"/>
  <cols>
    <col min="1" max="1" width="32.7109375" bestFit="1" customWidth="1"/>
    <col min="2" max="2" width="13.28515625" style="157" bestFit="1" customWidth="1"/>
    <col min="3" max="4" width="15.140625" customWidth="1"/>
    <col min="5" max="5" width="23.85546875" customWidth="1"/>
    <col min="6" max="6" width="22.85546875" customWidth="1"/>
    <col min="7" max="7" width="16.7109375" style="157" customWidth="1"/>
    <col min="8" max="8" width="28.140625" customWidth="1"/>
    <col min="9" max="9" width="16.85546875" customWidth="1"/>
  </cols>
  <sheetData>
    <row r="1" spans="1:9" x14ac:dyDescent="0.25">
      <c r="A1" s="142" t="s">
        <v>243</v>
      </c>
      <c r="B1" s="143">
        <v>3600000</v>
      </c>
      <c r="D1" s="224" t="s">
        <v>244</v>
      </c>
      <c r="E1" s="224"/>
      <c r="F1" s="224"/>
      <c r="G1" s="224"/>
      <c r="H1" s="224"/>
    </row>
    <row r="2" spans="1:9" x14ac:dyDescent="0.25">
      <c r="A2" s="144" t="s">
        <v>245</v>
      </c>
      <c r="B2" s="145">
        <f>IF(B1&lt;E7,D6,IF(B1&lt;E8,D7,IF(B1&lt;E9,D8,IF(B1&lt;E10,D9,IF(B1&lt;E11,D10,IF(B1&lt;=F11,D11))))))</f>
        <v>5</v>
      </c>
      <c r="D2" s="224"/>
      <c r="E2" s="224"/>
      <c r="F2" s="224"/>
      <c r="G2" s="224"/>
      <c r="H2" s="224"/>
    </row>
    <row r="3" spans="1:9" ht="15" customHeight="1" x14ac:dyDescent="0.25">
      <c r="A3" s="142" t="s">
        <v>246</v>
      </c>
      <c r="B3" s="143">
        <f>IF(B2=1,G6,IF(B2=2,G7,IF(B2=3,G8,IF(B2=4,G9,IF(B2=5,G10,IF(B2=6,G11))))))</f>
        <v>22</v>
      </c>
      <c r="D3" s="225" t="s">
        <v>247</v>
      </c>
      <c r="E3" s="225"/>
      <c r="F3" s="225"/>
      <c r="G3" s="225"/>
      <c r="H3" s="225"/>
    </row>
    <row r="4" spans="1:9" x14ac:dyDescent="0.25">
      <c r="A4" s="144" t="s">
        <v>248</v>
      </c>
      <c r="B4" s="146">
        <f>IF(B2=1,H6,IF(B2=2,H7,IF(B2=3,H8,IF(B2=4,H9,IF(B2=5,H10,IF(B2=6,H11))))))</f>
        <v>183780</v>
      </c>
      <c r="D4" s="225"/>
      <c r="E4" s="225"/>
      <c r="F4" s="225"/>
      <c r="G4" s="225"/>
      <c r="H4" s="225"/>
    </row>
    <row r="5" spans="1:9" x14ac:dyDescent="0.25">
      <c r="A5" s="142" t="s">
        <v>249</v>
      </c>
      <c r="B5" s="143">
        <f>IFERROR((B1*(B3/100)-B4)/B1*100,0)</f>
        <v>16.895</v>
      </c>
      <c r="C5" s="147"/>
      <c r="D5" s="148" t="s">
        <v>250</v>
      </c>
      <c r="E5" s="149" t="s">
        <v>251</v>
      </c>
      <c r="F5" s="149" t="s">
        <v>252</v>
      </c>
      <c r="G5" s="150" t="s">
        <v>253</v>
      </c>
      <c r="H5" s="151" t="s">
        <v>254</v>
      </c>
    </row>
    <row r="6" spans="1:9" x14ac:dyDescent="0.25">
      <c r="A6" s="142" t="s">
        <v>255</v>
      </c>
      <c r="B6" s="143">
        <f>IF(B2=1,B5*I16,
IF(B2=2,B5*I17,
IF(B2=3,B5*I18,
IF(B2=4,B5*I19,
IF(B2=5,IF($B$5&gt;12.5,($B$5-$B$8)*I23,B5*I20),
IF(B2=6,B5*I21,))))))</f>
        <v>0.77793299999999999</v>
      </c>
      <c r="D6" s="152">
        <v>1</v>
      </c>
      <c r="E6" s="131">
        <v>0</v>
      </c>
      <c r="F6" s="132">
        <v>180000</v>
      </c>
      <c r="G6" s="153">
        <v>4.5</v>
      </c>
      <c r="H6" s="154">
        <v>0</v>
      </c>
    </row>
    <row r="7" spans="1:9" x14ac:dyDescent="0.25">
      <c r="A7" s="144" t="s">
        <v>256</v>
      </c>
      <c r="B7" s="146">
        <f>IF(B2=1,B5*H16,
IF(B2=2,B5*H17,
IF(B2=3,B5*H18,
IF(B2=4,B5*H19,
IF(B2=5,IF($B$5&gt;12.5,($B$5-$B$8)*H23,B5*H20),
IF(B2=6,B5*H21,))))))</f>
        <v>3.5839634999999999</v>
      </c>
      <c r="D7" s="152">
        <v>2</v>
      </c>
      <c r="E7" s="132">
        <v>180000.01</v>
      </c>
      <c r="F7" s="132">
        <v>360000</v>
      </c>
      <c r="G7" s="153">
        <v>9</v>
      </c>
      <c r="H7" s="155">
        <v>8100</v>
      </c>
    </row>
    <row r="8" spans="1:9" x14ac:dyDescent="0.25">
      <c r="A8" s="142" t="s">
        <v>257</v>
      </c>
      <c r="B8" s="143">
        <f>IF(IF(B2=1,B5*E16,
IF(B2=2,B5*E17,
IF(B2=3,B5*E18,
IF(B2=4,B5*E19,
IF(B2=5,IF($B$5&gt;12.5,E23*100,B5*E20),
IF(B2=6,Informações!B5*100))))))&lt;2,2,
IF(B2=1,B5*E16,
IF(B2=2,B5*E17,
IF(B2=3,B5*E18,
IF(B2=4,B5*E19,
IF(B2=5,IF($B$5&gt;12.5,E23*100,B5*E20),
IF(B2=6,Informações!B5*100)))))))</f>
        <v>5</v>
      </c>
      <c r="D8" s="152">
        <v>3</v>
      </c>
      <c r="E8" s="132">
        <v>360000.01</v>
      </c>
      <c r="F8" s="132">
        <v>720000</v>
      </c>
      <c r="G8" s="153">
        <v>10.199999999999999</v>
      </c>
      <c r="H8" s="156">
        <v>12420</v>
      </c>
    </row>
    <row r="9" spans="1:9" x14ac:dyDescent="0.25">
      <c r="D9" s="152">
        <v>4</v>
      </c>
      <c r="E9" s="132">
        <v>720000.01</v>
      </c>
      <c r="F9" s="132">
        <v>1800000</v>
      </c>
      <c r="G9" s="153">
        <v>14</v>
      </c>
      <c r="H9" s="156">
        <v>39780</v>
      </c>
    </row>
    <row r="10" spans="1:9" x14ac:dyDescent="0.25">
      <c r="D10" s="152">
        <v>5</v>
      </c>
      <c r="E10" s="132">
        <v>1800000.01</v>
      </c>
      <c r="F10" s="132">
        <v>3600000</v>
      </c>
      <c r="G10" s="153">
        <v>22</v>
      </c>
      <c r="H10" s="156">
        <v>183780</v>
      </c>
    </row>
    <row r="11" spans="1:9" x14ac:dyDescent="0.25">
      <c r="D11" s="158">
        <v>6</v>
      </c>
      <c r="E11" s="159">
        <v>3600000.01</v>
      </c>
      <c r="F11" s="159">
        <v>4800000</v>
      </c>
      <c r="G11" s="160">
        <v>33</v>
      </c>
      <c r="H11" s="161">
        <v>828000</v>
      </c>
    </row>
    <row r="14" spans="1:9" x14ac:dyDescent="0.25">
      <c r="E14" s="162" t="s">
        <v>258</v>
      </c>
      <c r="F14" s="162"/>
      <c r="G14" s="162"/>
      <c r="H14" s="162"/>
      <c r="I14" s="162"/>
    </row>
    <row r="15" spans="1:9" x14ac:dyDescent="0.25">
      <c r="D15" s="163" t="s">
        <v>250</v>
      </c>
      <c r="E15" t="s">
        <v>89</v>
      </c>
      <c r="F15" t="s">
        <v>259</v>
      </c>
      <c r="G15" s="157" t="s">
        <v>260</v>
      </c>
      <c r="H15" t="s">
        <v>261</v>
      </c>
      <c r="I15" t="s">
        <v>262</v>
      </c>
    </row>
    <row r="16" spans="1:9" x14ac:dyDescent="0.25">
      <c r="D16" s="144">
        <v>1</v>
      </c>
      <c r="E16" s="164">
        <v>0.44500000000000001</v>
      </c>
      <c r="F16" s="164">
        <v>0.152</v>
      </c>
      <c r="G16" s="165">
        <v>0.188</v>
      </c>
      <c r="H16" s="164">
        <v>0.1767</v>
      </c>
      <c r="I16" s="164">
        <v>3.8300000000000001E-2</v>
      </c>
    </row>
    <row r="17" spans="1:10" x14ac:dyDescent="0.25">
      <c r="D17" s="142">
        <v>2</v>
      </c>
      <c r="E17" s="164">
        <v>0.4</v>
      </c>
      <c r="F17" s="164">
        <v>0.152</v>
      </c>
      <c r="G17" s="165">
        <v>0.19800000000000001</v>
      </c>
      <c r="H17" s="164">
        <v>0.20549999999999999</v>
      </c>
      <c r="I17" s="164">
        <v>4.4499999999999998E-2</v>
      </c>
    </row>
    <row r="18" spans="1:10" x14ac:dyDescent="0.25">
      <c r="D18" s="144">
        <v>3</v>
      </c>
      <c r="E18" s="164">
        <v>0.4</v>
      </c>
      <c r="F18" s="164">
        <v>0.152</v>
      </c>
      <c r="G18" s="165">
        <v>0.20799999999999999</v>
      </c>
      <c r="H18" s="164">
        <v>0.1973</v>
      </c>
      <c r="I18" s="164">
        <v>4.2700000000000002E-2</v>
      </c>
    </row>
    <row r="19" spans="1:10" x14ac:dyDescent="0.25">
      <c r="D19" s="142">
        <v>4</v>
      </c>
      <c r="E19" s="164">
        <v>0.4</v>
      </c>
      <c r="F19" s="164">
        <v>0.192</v>
      </c>
      <c r="G19" s="165">
        <v>0.17799999999999999</v>
      </c>
      <c r="H19" s="164">
        <v>0.189</v>
      </c>
      <c r="I19" s="164">
        <v>4.1000000000000002E-2</v>
      </c>
    </row>
    <row r="20" spans="1:10" x14ac:dyDescent="0.25">
      <c r="A20" s="166"/>
      <c r="B20" s="167"/>
      <c r="D20" s="144">
        <v>5</v>
      </c>
      <c r="E20" s="164">
        <v>0.4</v>
      </c>
      <c r="F20" s="164">
        <v>0.192</v>
      </c>
      <c r="G20" s="165">
        <v>0.188</v>
      </c>
      <c r="H20" s="164">
        <v>0.18079999999999999</v>
      </c>
      <c r="I20" s="164">
        <v>3.9199999999999999E-2</v>
      </c>
    </row>
    <row r="21" spans="1:10" x14ac:dyDescent="0.25">
      <c r="D21" s="142">
        <v>6</v>
      </c>
      <c r="E21" t="s">
        <v>263</v>
      </c>
      <c r="F21" s="164">
        <v>0.215</v>
      </c>
      <c r="G21" s="165">
        <v>0.53500000000000003</v>
      </c>
      <c r="H21" s="164">
        <v>0.20549999999999999</v>
      </c>
      <c r="I21" s="164">
        <v>4.4499999999999998E-2</v>
      </c>
      <c r="J21" s="164"/>
    </row>
    <row r="22" spans="1:10" x14ac:dyDescent="0.25">
      <c r="E22" t="s">
        <v>89</v>
      </c>
      <c r="F22" t="s">
        <v>259</v>
      </c>
      <c r="G22" s="157" t="s">
        <v>260</v>
      </c>
      <c r="H22" t="s">
        <v>261</v>
      </c>
      <c r="I22" t="s">
        <v>262</v>
      </c>
    </row>
    <row r="23" spans="1:10" s="166" customFormat="1" ht="46.5" customHeight="1" thickBot="1" x14ac:dyDescent="0.3">
      <c r="A23"/>
      <c r="B23" s="157"/>
      <c r="D23" s="168" t="s">
        <v>264</v>
      </c>
      <c r="E23" s="169">
        <v>0.05</v>
      </c>
      <c r="F23" s="169">
        <v>0.32</v>
      </c>
      <c r="G23" s="169">
        <v>0.31330000000000002</v>
      </c>
      <c r="H23" s="169">
        <v>0.30130000000000001</v>
      </c>
      <c r="I23" s="169">
        <v>6.54E-2</v>
      </c>
    </row>
    <row r="24" spans="1:10" x14ac:dyDescent="0.25">
      <c r="E24" s="169"/>
      <c r="F24" s="169"/>
      <c r="G24" s="169"/>
      <c r="H24" s="169"/>
      <c r="I24" s="169"/>
    </row>
    <row r="25" spans="1:10" x14ac:dyDescent="0.25">
      <c r="F25" s="164"/>
      <c r="G25" s="164"/>
      <c r="H25" s="164"/>
      <c r="I25" s="164"/>
    </row>
    <row r="26" spans="1:10" x14ac:dyDescent="0.25">
      <c r="F26" s="164"/>
    </row>
  </sheetData>
  <mergeCells count="2">
    <mergeCell ref="D1:H2"/>
    <mergeCell ref="D3:H4"/>
  </mergeCells>
  <pageMargins left="0.511811024" right="0.511811024" top="0.78740157499999996" bottom="0.78740157499999996" header="0.31496062000000002" footer="0.31496062000000002"/>
  <pageSetup paperSize="9" scale="73" fitToHeight="0" orientation="landscape" verticalDpi="0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zoomScale="110" zoomScaleNormal="110" workbookViewId="0">
      <selection activeCell="I25" sqref="I25"/>
    </sheetView>
  </sheetViews>
  <sheetFormatPr defaultColWidth="9.140625" defaultRowHeight="12.75" x14ac:dyDescent="0.2"/>
  <cols>
    <col min="1" max="1" width="9.140625" style="14"/>
    <col min="2" max="2" width="21" style="14" customWidth="1"/>
    <col min="3" max="3" width="3.140625" style="14" bestFit="1" customWidth="1"/>
    <col min="4" max="4" width="11.28515625" style="14" bestFit="1" customWidth="1"/>
    <col min="5" max="5" width="19.7109375" style="14" customWidth="1"/>
    <col min="6" max="6" width="3.140625" style="14" bestFit="1" customWidth="1"/>
    <col min="7" max="7" width="12.28515625" style="14" bestFit="1" customWidth="1"/>
    <col min="8" max="8" width="9.140625" style="14"/>
    <col min="9" max="9" width="19.42578125" style="14" bestFit="1" customWidth="1"/>
    <col min="10" max="16384" width="9.140625" style="14"/>
  </cols>
  <sheetData>
    <row r="1" spans="1:9" x14ac:dyDescent="0.2">
      <c r="A1" s="189" t="s">
        <v>160</v>
      </c>
      <c r="B1" s="189"/>
      <c r="C1" s="189"/>
      <c r="D1" s="189"/>
      <c r="E1" s="189"/>
      <c r="F1" s="189"/>
      <c r="G1" s="189"/>
      <c r="H1" s="189"/>
      <c r="I1" s="189"/>
    </row>
    <row r="2" spans="1:9" x14ac:dyDescent="0.2">
      <c r="A2" s="190" t="s">
        <v>161</v>
      </c>
      <c r="B2" s="190"/>
      <c r="C2" s="190" t="s">
        <v>162</v>
      </c>
      <c r="D2" s="190"/>
      <c r="E2" s="190" t="s">
        <v>163</v>
      </c>
      <c r="F2" s="190" t="s">
        <v>164</v>
      </c>
      <c r="G2" s="190"/>
      <c r="H2" s="190" t="s">
        <v>165</v>
      </c>
      <c r="I2" s="190" t="s">
        <v>166</v>
      </c>
    </row>
    <row r="3" spans="1:9" ht="15.75" customHeight="1" x14ac:dyDescent="0.2">
      <c r="A3" s="190"/>
      <c r="B3" s="190"/>
      <c r="C3" s="190"/>
      <c r="D3" s="190"/>
      <c r="E3" s="190"/>
      <c r="F3" s="190"/>
      <c r="G3" s="190"/>
      <c r="H3" s="190"/>
      <c r="I3" s="190"/>
    </row>
    <row r="4" spans="1:9" ht="15.75" customHeight="1" x14ac:dyDescent="0.2">
      <c r="A4" s="191" t="s">
        <v>167</v>
      </c>
      <c r="B4" s="191"/>
      <c r="C4" s="192" t="s">
        <v>168</v>
      </c>
      <c r="D4" s="192"/>
      <c r="E4" s="73" t="s">
        <v>169</v>
      </c>
      <c r="F4" s="192" t="s">
        <v>170</v>
      </c>
      <c r="G4" s="192"/>
      <c r="H4" s="73" t="s">
        <v>171</v>
      </c>
      <c r="I4" s="73" t="s">
        <v>172</v>
      </c>
    </row>
    <row r="5" spans="1:9" hidden="1" x14ac:dyDescent="0.2">
      <c r="A5" s="74" t="s">
        <v>173</v>
      </c>
      <c r="B5" s="74" t="s">
        <v>153</v>
      </c>
      <c r="C5" s="74" t="s">
        <v>174</v>
      </c>
      <c r="D5" s="79">
        <f>IFERROR('Servente de Limpeza'!$D$158,0)</f>
        <v>4161.7591891937318</v>
      </c>
      <c r="E5" s="80">
        <f>'Servente de Limpeza'!$E$12</f>
        <v>1</v>
      </c>
      <c r="F5" s="74" t="s">
        <v>174</v>
      </c>
      <c r="G5" s="75">
        <f>D5*E5</f>
        <v>4161.7591891937318</v>
      </c>
      <c r="H5" s="74">
        <f>'Servente de Limpeza'!$D$12</f>
        <v>3</v>
      </c>
      <c r="I5" s="76">
        <f>H5*G5</f>
        <v>12485.277567581195</v>
      </c>
    </row>
    <row r="6" spans="1:9" ht="25.5" hidden="1" x14ac:dyDescent="0.2">
      <c r="A6" s="95" t="s">
        <v>175</v>
      </c>
      <c r="B6" s="95" t="s">
        <v>214</v>
      </c>
      <c r="C6" s="95" t="s">
        <v>174</v>
      </c>
      <c r="D6" s="79">
        <f>IFERROR('Servente de Limpeza - Banheiro'!$D$158,0)</f>
        <v>4928.5314529804764</v>
      </c>
      <c r="E6" s="80">
        <f>'Servente de Limpeza - Banheiro'!$E$12</f>
        <v>1</v>
      </c>
      <c r="F6" s="95" t="s">
        <v>174</v>
      </c>
      <c r="G6" s="75">
        <f>D6*E6</f>
        <v>4928.5314529804764</v>
      </c>
      <c r="H6" s="95">
        <f>'Servente de Limpeza - Banheiro'!$D$12</f>
        <v>1</v>
      </c>
      <c r="I6" s="76">
        <f>H6*G6</f>
        <v>4928.5314529804764</v>
      </c>
    </row>
    <row r="7" spans="1:9" ht="25.5" hidden="1" x14ac:dyDescent="0.2">
      <c r="A7" s="139" t="s">
        <v>183</v>
      </c>
      <c r="B7" s="139" t="s">
        <v>273</v>
      </c>
      <c r="C7" s="139" t="s">
        <v>174</v>
      </c>
      <c r="D7" s="79">
        <f>IFERROR('Servente de Limpeza - Diária'!$D$159,0)</f>
        <v>229.90588056986996</v>
      </c>
      <c r="E7" s="80">
        <f>'Servente de Limpeza - Diária'!$E$12</f>
        <v>0</v>
      </c>
      <c r="F7" s="139" t="s">
        <v>174</v>
      </c>
      <c r="G7" s="75">
        <f>D7*E7</f>
        <v>0</v>
      </c>
      <c r="H7" s="139">
        <f>'Servente de Limpeza - Diária'!$D$12</f>
        <v>0</v>
      </c>
      <c r="I7" s="76">
        <f>H7*G7</f>
        <v>0</v>
      </c>
    </row>
    <row r="8" spans="1:9" hidden="1" x14ac:dyDescent="0.2">
      <c r="A8" s="95" t="s">
        <v>184</v>
      </c>
      <c r="B8" s="74" t="s">
        <v>185</v>
      </c>
      <c r="C8" s="74" t="s">
        <v>174</v>
      </c>
      <c r="D8" s="79">
        <f>IFERROR(Líder!$D$158,0)</f>
        <v>979.12456930897019</v>
      </c>
      <c r="E8" s="80">
        <f>Líder!$E$12</f>
        <v>0</v>
      </c>
      <c r="F8" s="74" t="s">
        <v>174</v>
      </c>
      <c r="G8" s="75">
        <f>D8*E8</f>
        <v>0</v>
      </c>
      <c r="H8" s="74">
        <f>Líder!$D$12</f>
        <v>0</v>
      </c>
      <c r="I8" s="76">
        <f>H8*G8</f>
        <v>0</v>
      </c>
    </row>
    <row r="9" spans="1:9" hidden="1" x14ac:dyDescent="0.2">
      <c r="A9" s="95" t="s">
        <v>186</v>
      </c>
      <c r="B9" s="74" t="s">
        <v>157</v>
      </c>
      <c r="C9" s="74" t="s">
        <v>174</v>
      </c>
      <c r="D9" s="79">
        <f>IFERROR(Copeira!$D$157,0)</f>
        <v>4520.9487436407844</v>
      </c>
      <c r="E9" s="80">
        <f>Copeira!$E$12</f>
        <v>0</v>
      </c>
      <c r="F9" s="74" t="s">
        <v>174</v>
      </c>
      <c r="G9" s="75">
        <f t="shared" ref="G9:G12" si="0">D9*E9</f>
        <v>0</v>
      </c>
      <c r="H9" s="74">
        <f>Copeira!$D$12</f>
        <v>0</v>
      </c>
      <c r="I9" s="76">
        <f t="shared" ref="I9:I12" si="1">H9*G9</f>
        <v>0</v>
      </c>
    </row>
    <row r="10" spans="1:9" x14ac:dyDescent="0.2">
      <c r="A10" s="95" t="s">
        <v>216</v>
      </c>
      <c r="B10" s="74" t="s">
        <v>158</v>
      </c>
      <c r="C10" s="74" t="s">
        <v>174</v>
      </c>
      <c r="D10" s="79">
        <f>IFERROR(Jardineiro!$D$158,0)</f>
        <v>4497.828126374925</v>
      </c>
      <c r="E10" s="80">
        <f>Jardineiro!$E$12</f>
        <v>1</v>
      </c>
      <c r="F10" s="74" t="s">
        <v>174</v>
      </c>
      <c r="G10" s="75">
        <f>D10*E10</f>
        <v>4497.828126374925</v>
      </c>
      <c r="H10" s="74">
        <f>Jardineiro!$D$12</f>
        <v>1</v>
      </c>
      <c r="I10" s="76">
        <f t="shared" si="1"/>
        <v>4497.828126374925</v>
      </c>
    </row>
    <row r="11" spans="1:9" hidden="1" x14ac:dyDescent="0.2">
      <c r="A11" s="139" t="s">
        <v>271</v>
      </c>
      <c r="B11" s="139" t="s">
        <v>272</v>
      </c>
      <c r="C11" s="139"/>
      <c r="D11" s="79">
        <f>IFERROR('Jardineiro - Diária'!D159,0)</f>
        <v>204.44673301704205</v>
      </c>
      <c r="E11" s="80">
        <f>'Jardineiro - Diária'!E12</f>
        <v>0</v>
      </c>
      <c r="F11" s="139" t="s">
        <v>174</v>
      </c>
      <c r="G11" s="75">
        <f t="shared" ref="G11" si="2">D11*E11</f>
        <v>0</v>
      </c>
      <c r="H11" s="139">
        <f>'Jardineiro - Diária'!D12</f>
        <v>0</v>
      </c>
      <c r="I11" s="76">
        <f t="shared" si="1"/>
        <v>0</v>
      </c>
    </row>
    <row r="12" spans="1:9" x14ac:dyDescent="0.2">
      <c r="A12" s="74" t="s">
        <v>274</v>
      </c>
      <c r="B12" s="74" t="s">
        <v>159</v>
      </c>
      <c r="C12" s="74" t="s">
        <v>174</v>
      </c>
      <c r="D12" s="79">
        <f>IFERROR('Aux. Jardim'!$D$158,0)</f>
        <v>4302.7671633525333</v>
      </c>
      <c r="E12" s="80">
        <f>'Aux. Jardim'!$E$12</f>
        <v>2</v>
      </c>
      <c r="F12" s="74" t="s">
        <v>174</v>
      </c>
      <c r="G12" s="75">
        <f>D12*E12</f>
        <v>8605.5343267050666</v>
      </c>
      <c r="H12" s="74">
        <f>'Aux. Jardim'!$D$12</f>
        <v>2</v>
      </c>
      <c r="I12" s="76">
        <f t="shared" si="1"/>
        <v>17211.068653410133</v>
      </c>
    </row>
    <row r="13" spans="1:9" x14ac:dyDescent="0.2">
      <c r="A13" s="193" t="s">
        <v>176</v>
      </c>
      <c r="B13" s="193"/>
      <c r="C13" s="193"/>
      <c r="D13" s="193"/>
      <c r="E13" s="193"/>
      <c r="F13" s="193"/>
      <c r="G13" s="193"/>
      <c r="H13" s="193"/>
      <c r="I13" s="81">
        <f>SUM(I5:I12)</f>
        <v>39122.705800346732</v>
      </c>
    </row>
    <row r="14" spans="1:9" ht="29.25" customHeight="1" x14ac:dyDescent="0.2"/>
    <row r="15" spans="1:9" x14ac:dyDescent="0.2">
      <c r="A15" s="189" t="s">
        <v>177</v>
      </c>
      <c r="B15" s="189"/>
      <c r="C15" s="189"/>
      <c r="D15" s="189"/>
      <c r="E15" s="189"/>
      <c r="F15" s="189"/>
      <c r="G15" s="189"/>
      <c r="H15" s="189"/>
      <c r="I15" s="189"/>
    </row>
    <row r="16" spans="1:9" x14ac:dyDescent="0.2">
      <c r="A16" s="188" t="s">
        <v>178</v>
      </c>
      <c r="B16" s="188"/>
      <c r="C16" s="188"/>
      <c r="D16" s="188"/>
      <c r="E16" s="188"/>
      <c r="F16" s="188"/>
      <c r="G16" s="188"/>
      <c r="H16" s="188"/>
      <c r="I16" s="188"/>
    </row>
    <row r="17" spans="1:9" x14ac:dyDescent="0.2">
      <c r="A17" s="188" t="s">
        <v>92</v>
      </c>
      <c r="B17" s="188"/>
      <c r="C17" s="188"/>
      <c r="D17" s="188"/>
      <c r="E17" s="188"/>
      <c r="F17" s="188"/>
      <c r="G17" s="188"/>
      <c r="H17" s="188"/>
      <c r="I17" s="78" t="s">
        <v>3</v>
      </c>
    </row>
    <row r="18" spans="1:9" x14ac:dyDescent="0.2">
      <c r="A18" s="22"/>
      <c r="B18" s="186" t="s">
        <v>187</v>
      </c>
      <c r="C18" s="186"/>
      <c r="D18" s="186"/>
      <c r="E18" s="186"/>
      <c r="F18" s="186"/>
      <c r="G18" s="186"/>
      <c r="H18" s="186"/>
      <c r="I18" s="77"/>
    </row>
    <row r="19" spans="1:9" x14ac:dyDescent="0.2">
      <c r="A19" s="22" t="s">
        <v>4</v>
      </c>
      <c r="B19" s="187" t="s">
        <v>179</v>
      </c>
      <c r="C19" s="187" t="s">
        <v>180</v>
      </c>
      <c r="D19" s="187" t="s">
        <v>180</v>
      </c>
      <c r="E19" s="187" t="s">
        <v>180</v>
      </c>
      <c r="F19" s="187" t="s">
        <v>180</v>
      </c>
      <c r="G19" s="187" t="s">
        <v>180</v>
      </c>
      <c r="H19" s="187" t="s">
        <v>180</v>
      </c>
      <c r="I19" s="82">
        <f>SUM(I5:I9)-I7</f>
        <v>17413.809020561672</v>
      </c>
    </row>
    <row r="20" spans="1:9" x14ac:dyDescent="0.2">
      <c r="A20" s="22" t="s">
        <v>6</v>
      </c>
      <c r="B20" s="187" t="s">
        <v>275</v>
      </c>
      <c r="C20" s="187" t="s">
        <v>182</v>
      </c>
      <c r="D20" s="187" t="s">
        <v>182</v>
      </c>
      <c r="E20" s="187" t="s">
        <v>182</v>
      </c>
      <c r="F20" s="187" t="s">
        <v>182</v>
      </c>
      <c r="G20" s="187" t="s">
        <v>182</v>
      </c>
      <c r="H20" s="187" t="s">
        <v>182</v>
      </c>
      <c r="I20" s="83">
        <f>$I$7*24</f>
        <v>0</v>
      </c>
    </row>
    <row r="21" spans="1:9" x14ac:dyDescent="0.2">
      <c r="A21" s="22" t="s">
        <v>8</v>
      </c>
      <c r="B21" s="187" t="s">
        <v>181</v>
      </c>
      <c r="C21" s="187" t="s">
        <v>182</v>
      </c>
      <c r="D21" s="187" t="s">
        <v>182</v>
      </c>
      <c r="E21" s="187" t="s">
        <v>182</v>
      </c>
      <c r="F21" s="187" t="s">
        <v>182</v>
      </c>
      <c r="G21" s="187" t="s">
        <v>182</v>
      </c>
      <c r="H21" s="187" t="s">
        <v>182</v>
      </c>
      <c r="I21" s="83">
        <f>I19*12+I20</f>
        <v>208965.70824674005</v>
      </c>
    </row>
    <row r="22" spans="1:9" x14ac:dyDescent="0.2">
      <c r="A22" s="22"/>
      <c r="B22" s="186" t="s">
        <v>188</v>
      </c>
      <c r="C22" s="186"/>
      <c r="D22" s="186"/>
      <c r="E22" s="186"/>
      <c r="F22" s="186"/>
      <c r="G22" s="186"/>
      <c r="H22" s="186"/>
      <c r="I22" s="77"/>
    </row>
    <row r="23" spans="1:9" x14ac:dyDescent="0.2">
      <c r="A23" s="22" t="s">
        <v>4</v>
      </c>
      <c r="B23" s="187" t="s">
        <v>179</v>
      </c>
      <c r="C23" s="187" t="s">
        <v>180</v>
      </c>
      <c r="D23" s="187" t="s">
        <v>180</v>
      </c>
      <c r="E23" s="187" t="s">
        <v>180</v>
      </c>
      <c r="F23" s="187" t="s">
        <v>180</v>
      </c>
      <c r="G23" s="187" t="s">
        <v>180</v>
      </c>
      <c r="H23" s="187" t="s">
        <v>180</v>
      </c>
      <c r="I23" s="82">
        <f>SUM(I10:I12)-$I$11</f>
        <v>21708.896779785056</v>
      </c>
    </row>
    <row r="24" spans="1:9" ht="12.95" customHeight="1" x14ac:dyDescent="0.2">
      <c r="A24" s="22" t="s">
        <v>6</v>
      </c>
      <c r="B24" s="187" t="s">
        <v>275</v>
      </c>
      <c r="C24" s="187" t="s">
        <v>182</v>
      </c>
      <c r="D24" s="187" t="s">
        <v>182</v>
      </c>
      <c r="E24" s="187" t="s">
        <v>182</v>
      </c>
      <c r="F24" s="187" t="s">
        <v>182</v>
      </c>
      <c r="G24" s="187" t="s">
        <v>182</v>
      </c>
      <c r="H24" s="187" t="s">
        <v>182</v>
      </c>
      <c r="I24" s="83">
        <f>$I$11*12</f>
        <v>0</v>
      </c>
    </row>
    <row r="25" spans="1:9" x14ac:dyDescent="0.2">
      <c r="A25" s="22" t="s">
        <v>6</v>
      </c>
      <c r="B25" s="187" t="s">
        <v>181</v>
      </c>
      <c r="C25" s="187" t="s">
        <v>182</v>
      </c>
      <c r="D25" s="187" t="s">
        <v>182</v>
      </c>
      <c r="E25" s="187" t="s">
        <v>182</v>
      </c>
      <c r="F25" s="187" t="s">
        <v>182</v>
      </c>
      <c r="G25" s="187" t="s">
        <v>182</v>
      </c>
      <c r="H25" s="187" t="s">
        <v>182</v>
      </c>
      <c r="I25" s="83">
        <f>I23*12+I24</f>
        <v>260506.76135742068</v>
      </c>
    </row>
  </sheetData>
  <mergeCells count="22">
    <mergeCell ref="A16:I16"/>
    <mergeCell ref="A1:I1"/>
    <mergeCell ref="A2:B3"/>
    <mergeCell ref="C2:D3"/>
    <mergeCell ref="E2:E3"/>
    <mergeCell ref="F2:G3"/>
    <mergeCell ref="H2:H3"/>
    <mergeCell ref="I2:I3"/>
    <mergeCell ref="A4:B4"/>
    <mergeCell ref="C4:D4"/>
    <mergeCell ref="F4:G4"/>
    <mergeCell ref="A13:H13"/>
    <mergeCell ref="A15:I15"/>
    <mergeCell ref="B22:H22"/>
    <mergeCell ref="B23:H23"/>
    <mergeCell ref="B25:H25"/>
    <mergeCell ref="A17:H17"/>
    <mergeCell ref="B18:H18"/>
    <mergeCell ref="B19:H19"/>
    <mergeCell ref="B21:H21"/>
    <mergeCell ref="B20:H20"/>
    <mergeCell ref="B24:H24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0"/>
  <sheetViews>
    <sheetView showGridLines="0" zoomScaleNormal="100" workbookViewId="0">
      <selection activeCell="C18" sqref="C18:E18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12" style="1" customWidth="1"/>
    <col min="7" max="7" width="15.140625" style="1" customWidth="1"/>
    <col min="8" max="16384" width="9.140625" style="1"/>
  </cols>
  <sheetData>
    <row r="1" spans="1:9" x14ac:dyDescent="0.25">
      <c r="A1" s="189" t="s">
        <v>0</v>
      </c>
      <c r="B1" s="189"/>
      <c r="C1" s="189"/>
      <c r="D1" s="189"/>
      <c r="E1" s="189"/>
      <c r="I1" s="45"/>
    </row>
    <row r="2" spans="1:9" x14ac:dyDescent="0.25">
      <c r="A2" s="60" t="s">
        <v>107</v>
      </c>
      <c r="B2" s="60"/>
      <c r="G2" s="88"/>
      <c r="H2" s="15"/>
    </row>
    <row r="3" spans="1:9" x14ac:dyDescent="0.25">
      <c r="A3" s="22" t="s">
        <v>108</v>
      </c>
      <c r="B3" s="22"/>
      <c r="G3" s="87"/>
      <c r="H3" s="15"/>
    </row>
    <row r="4" spans="1:9" x14ac:dyDescent="0.25">
      <c r="A4" s="14"/>
      <c r="B4" s="14"/>
      <c r="H4" s="15"/>
    </row>
    <row r="5" spans="1:9" x14ac:dyDescent="0.25">
      <c r="A5" s="5" t="s">
        <v>4</v>
      </c>
      <c r="B5" s="57" t="s">
        <v>109</v>
      </c>
      <c r="C5" s="206"/>
      <c r="D5" s="207"/>
      <c r="H5" s="15"/>
    </row>
    <row r="6" spans="1:9" x14ac:dyDescent="0.25">
      <c r="A6" s="5" t="s">
        <v>6</v>
      </c>
      <c r="B6" s="57" t="s">
        <v>110</v>
      </c>
      <c r="C6" s="207"/>
      <c r="D6" s="207"/>
      <c r="H6" s="15"/>
    </row>
    <row r="7" spans="1:9" ht="25.5" x14ac:dyDescent="0.25">
      <c r="A7" s="5" t="s">
        <v>8</v>
      </c>
      <c r="B7" s="57" t="s">
        <v>111</v>
      </c>
      <c r="C7" s="207"/>
      <c r="D7" s="207"/>
      <c r="H7" s="15"/>
    </row>
    <row r="8" spans="1:9" x14ac:dyDescent="0.25">
      <c r="A8" s="5" t="s">
        <v>10</v>
      </c>
      <c r="B8" s="57" t="s">
        <v>112</v>
      </c>
      <c r="C8" s="207"/>
      <c r="D8" s="207"/>
      <c r="H8" s="15"/>
    </row>
    <row r="9" spans="1:9" x14ac:dyDescent="0.25">
      <c r="A9" s="205"/>
      <c r="B9" s="205"/>
      <c r="C9" s="205"/>
      <c r="D9" s="205"/>
      <c r="E9" s="59"/>
    </row>
    <row r="10" spans="1:9" x14ac:dyDescent="0.25">
      <c r="A10" s="189" t="s">
        <v>78</v>
      </c>
      <c r="B10" s="189"/>
      <c r="C10" s="189"/>
      <c r="D10" s="189"/>
      <c r="E10" s="189"/>
    </row>
    <row r="11" spans="1:9" ht="25.5" customHeight="1" x14ac:dyDescent="0.25">
      <c r="A11" s="199" t="s">
        <v>79</v>
      </c>
      <c r="B11" s="199"/>
      <c r="C11" s="32" t="s">
        <v>80</v>
      </c>
      <c r="D11" s="86" t="s">
        <v>81</v>
      </c>
      <c r="E11" s="86" t="s">
        <v>189</v>
      </c>
    </row>
    <row r="12" spans="1:9" ht="15.75" customHeight="1" x14ac:dyDescent="0.25">
      <c r="A12" s="200" t="s">
        <v>104</v>
      </c>
      <c r="B12" s="200"/>
      <c r="C12" s="202" t="s">
        <v>82</v>
      </c>
      <c r="D12" s="202">
        <v>1</v>
      </c>
      <c r="E12" s="202">
        <v>1</v>
      </c>
    </row>
    <row r="13" spans="1:9" x14ac:dyDescent="0.25">
      <c r="A13" s="201"/>
      <c r="B13" s="201"/>
      <c r="C13" s="203"/>
      <c r="D13" s="203"/>
      <c r="E13" s="203"/>
    </row>
    <row r="14" spans="1:9" x14ac:dyDescent="0.25">
      <c r="A14" s="4"/>
      <c r="B14" s="4"/>
      <c r="C14" s="4"/>
      <c r="D14" s="4"/>
      <c r="E14" s="4"/>
    </row>
    <row r="15" spans="1:9" x14ac:dyDescent="0.25">
      <c r="A15" s="38">
        <v>1</v>
      </c>
      <c r="B15" s="37" t="s">
        <v>113</v>
      </c>
      <c r="C15" s="204" t="s">
        <v>104</v>
      </c>
      <c r="D15" s="204"/>
      <c r="E15" s="204"/>
      <c r="F15" s="36"/>
    </row>
    <row r="16" spans="1:9" x14ac:dyDescent="0.25">
      <c r="A16" s="38">
        <v>2</v>
      </c>
      <c r="B16" s="37" t="s">
        <v>114</v>
      </c>
      <c r="C16" s="204"/>
      <c r="D16" s="204"/>
      <c r="E16" s="204"/>
      <c r="F16" s="36"/>
    </row>
    <row r="17" spans="1:6" x14ac:dyDescent="0.25">
      <c r="A17" s="38">
        <v>3</v>
      </c>
      <c r="B17" s="37" t="s">
        <v>115</v>
      </c>
      <c r="C17" s="204"/>
      <c r="D17" s="204"/>
      <c r="E17" s="204"/>
      <c r="F17" s="36"/>
    </row>
    <row r="18" spans="1:6" x14ac:dyDescent="0.25">
      <c r="A18" s="38">
        <v>4</v>
      </c>
      <c r="B18" s="37" t="s">
        <v>116</v>
      </c>
      <c r="C18" s="204" t="s">
        <v>158</v>
      </c>
      <c r="D18" s="204"/>
      <c r="E18" s="204"/>
      <c r="F18" s="36"/>
    </row>
    <row r="19" spans="1:6" x14ac:dyDescent="0.25">
      <c r="A19" s="38">
        <v>5</v>
      </c>
      <c r="B19" s="37" t="s">
        <v>117</v>
      </c>
      <c r="C19" s="204"/>
      <c r="D19" s="204"/>
      <c r="E19" s="204"/>
      <c r="F19" s="36"/>
    </row>
    <row r="20" spans="1:6" x14ac:dyDescent="0.25">
      <c r="A20" s="4"/>
      <c r="B20" s="4"/>
      <c r="C20" s="4"/>
      <c r="D20" s="4"/>
      <c r="E20" s="4"/>
    </row>
    <row r="22" spans="1:6" x14ac:dyDescent="0.25">
      <c r="A22" s="189" t="s">
        <v>1</v>
      </c>
      <c r="B22" s="189"/>
      <c r="C22" s="189"/>
      <c r="D22" s="189"/>
      <c r="E22" s="189"/>
    </row>
    <row r="24" spans="1:6" ht="25.5" customHeight="1" x14ac:dyDescent="0.25">
      <c r="A24" s="31">
        <v>1</v>
      </c>
      <c r="B24" s="55" t="s">
        <v>2</v>
      </c>
      <c r="C24" s="31" t="s">
        <v>24</v>
      </c>
      <c r="D24" s="31" t="s">
        <v>3</v>
      </c>
      <c r="E24" s="31" t="s">
        <v>129</v>
      </c>
    </row>
    <row r="25" spans="1:6" x14ac:dyDescent="0.25">
      <c r="A25" s="5" t="s">
        <v>4</v>
      </c>
      <c r="B25" s="57" t="s">
        <v>5</v>
      </c>
      <c r="C25" s="13"/>
      <c r="D25" s="6">
        <v>1459.21</v>
      </c>
      <c r="E25" s="22" t="s">
        <v>140</v>
      </c>
    </row>
    <row r="26" spans="1:6" x14ac:dyDescent="0.25">
      <c r="A26" s="5" t="s">
        <v>6</v>
      </c>
      <c r="B26" s="57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57" t="s">
        <v>9</v>
      </c>
      <c r="C27" s="13">
        <v>0</v>
      </c>
      <c r="D27" s="6">
        <f>C27*Informações!$B$3</f>
        <v>0</v>
      </c>
      <c r="E27" s="22" t="s">
        <v>140</v>
      </c>
    </row>
    <row r="28" spans="1:6" x14ac:dyDescent="0.25">
      <c r="A28" s="5" t="s">
        <v>10</v>
      </c>
      <c r="B28" s="57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57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57" t="s">
        <v>105</v>
      </c>
      <c r="C30" s="13"/>
      <c r="D30" s="6">
        <v>43.1</v>
      </c>
      <c r="E30" s="22" t="s">
        <v>140</v>
      </c>
    </row>
    <row r="31" spans="1:6" x14ac:dyDescent="0.25">
      <c r="A31" s="5" t="s">
        <v>14</v>
      </c>
      <c r="B31" s="57" t="s">
        <v>192</v>
      </c>
      <c r="C31" s="13"/>
      <c r="D31" s="6">
        <f>1100*C31</f>
        <v>0</v>
      </c>
      <c r="E31" s="22" t="s">
        <v>140</v>
      </c>
    </row>
    <row r="32" spans="1:6" x14ac:dyDescent="0.25">
      <c r="A32" s="194" t="s">
        <v>15</v>
      </c>
      <c r="B32" s="196"/>
      <c r="C32" s="10"/>
      <c r="D32" s="10">
        <f>SUM(D25:D31)</f>
        <v>1502.31</v>
      </c>
      <c r="E32" s="10"/>
    </row>
    <row r="35" spans="1:5" x14ac:dyDescent="0.25">
      <c r="A35" s="189" t="s">
        <v>16</v>
      </c>
      <c r="B35" s="189"/>
      <c r="C35" s="189"/>
      <c r="D35" s="189"/>
      <c r="E35" s="189"/>
    </row>
    <row r="36" spans="1:5" x14ac:dyDescent="0.25">
      <c r="A36" s="2"/>
    </row>
    <row r="37" spans="1:5" x14ac:dyDescent="0.25">
      <c r="A37" s="189" t="s">
        <v>17</v>
      </c>
      <c r="B37" s="189"/>
      <c r="C37" s="189"/>
      <c r="D37" s="189"/>
      <c r="E37" s="189"/>
    </row>
    <row r="39" spans="1:5" x14ac:dyDescent="0.25">
      <c r="A39" s="31" t="s">
        <v>18</v>
      </c>
      <c r="B39" s="31" t="s">
        <v>19</v>
      </c>
      <c r="C39" s="31" t="s">
        <v>24</v>
      </c>
      <c r="D39" s="31" t="s">
        <v>3</v>
      </c>
      <c r="E39" s="31" t="s">
        <v>129</v>
      </c>
    </row>
    <row r="40" spans="1:5" x14ac:dyDescent="0.25">
      <c r="A40" s="5" t="s">
        <v>4</v>
      </c>
      <c r="B40" s="7" t="s">
        <v>20</v>
      </c>
      <c r="C40" s="13">
        <f>1/12</f>
        <v>8.3333333333333329E-2</v>
      </c>
      <c r="D40" s="6">
        <f>$D$32*C40</f>
        <v>125.1925</v>
      </c>
      <c r="E40" s="22" t="s">
        <v>130</v>
      </c>
    </row>
    <row r="41" spans="1:5" x14ac:dyDescent="0.25">
      <c r="A41" s="5" t="s">
        <v>6</v>
      </c>
      <c r="B41" s="7" t="s">
        <v>51</v>
      </c>
      <c r="C41" s="13">
        <f>1/12</f>
        <v>8.3333333333333329E-2</v>
      </c>
      <c r="D41" s="6">
        <f>$D$32*C41</f>
        <v>125.1925</v>
      </c>
      <c r="E41" s="22" t="s">
        <v>150</v>
      </c>
    </row>
    <row r="42" spans="1:5" x14ac:dyDescent="0.25">
      <c r="A42" s="5" t="s">
        <v>8</v>
      </c>
      <c r="B42" s="7" t="s">
        <v>86</v>
      </c>
      <c r="C42" s="13">
        <f>1/12/3</f>
        <v>2.7777777777777776E-2</v>
      </c>
      <c r="D42" s="6">
        <f>$D$32*C42</f>
        <v>41.730833333333329</v>
      </c>
      <c r="E42" s="22" t="s">
        <v>143</v>
      </c>
    </row>
    <row r="43" spans="1:5" x14ac:dyDescent="0.25">
      <c r="A43" s="194" t="s">
        <v>15</v>
      </c>
      <c r="B43" s="196"/>
      <c r="C43" s="10"/>
      <c r="D43" s="10">
        <f>SUM(D40:D42)</f>
        <v>292.11583333333334</v>
      </c>
      <c r="E43" s="22"/>
    </row>
    <row r="44" spans="1:5" x14ac:dyDescent="0.25">
      <c r="D44" s="61"/>
    </row>
    <row r="46" spans="1:5" x14ac:dyDescent="0.25">
      <c r="A46" s="189" t="s">
        <v>21</v>
      </c>
      <c r="B46" s="189"/>
      <c r="C46" s="189"/>
      <c r="D46" s="189"/>
      <c r="E46" s="189"/>
    </row>
    <row r="48" spans="1:5" x14ac:dyDescent="0.25">
      <c r="A48" s="31" t="s">
        <v>22</v>
      </c>
      <c r="B48" s="31" t="s">
        <v>23</v>
      </c>
      <c r="C48" s="31" t="s">
        <v>24</v>
      </c>
      <c r="D48" s="31" t="s">
        <v>3</v>
      </c>
      <c r="E48" s="31" t="s">
        <v>129</v>
      </c>
    </row>
    <row r="49" spans="1:5" ht="38.25" x14ac:dyDescent="0.25">
      <c r="A49" s="5" t="s">
        <v>4</v>
      </c>
      <c r="B49" s="7" t="s">
        <v>25</v>
      </c>
      <c r="C49" s="8">
        <v>0.2</v>
      </c>
      <c r="D49" s="6">
        <f>($D$32+$D$43)*C49</f>
        <v>358.88516666666669</v>
      </c>
      <c r="E49" s="7" t="s">
        <v>131</v>
      </c>
    </row>
    <row r="50" spans="1:5" ht="25.5" x14ac:dyDescent="0.25">
      <c r="A50" s="5" t="s">
        <v>6</v>
      </c>
      <c r="B50" s="7" t="s">
        <v>26</v>
      </c>
      <c r="C50" s="8">
        <f>IF(Informações!$B$4="Simples Nacional",0,2.5%)</f>
        <v>2.5000000000000001E-2</v>
      </c>
      <c r="D50" s="6">
        <f t="shared" ref="D50:D56" si="0">($D$32+$D$43)*C50</f>
        <v>44.860645833333336</v>
      </c>
      <c r="E50" s="7" t="s">
        <v>132</v>
      </c>
    </row>
    <row r="51" spans="1:5" ht="25.5" x14ac:dyDescent="0.25">
      <c r="A51" s="5" t="s">
        <v>8</v>
      </c>
      <c r="B51" s="7" t="s">
        <v>134</v>
      </c>
      <c r="C51" s="33">
        <v>0.06</v>
      </c>
      <c r="D51" s="6">
        <f t="shared" si="0"/>
        <v>107.66555</v>
      </c>
      <c r="E51" s="7" t="s">
        <v>133</v>
      </c>
    </row>
    <row r="52" spans="1:5" x14ac:dyDescent="0.25">
      <c r="A52" s="5" t="s">
        <v>10</v>
      </c>
      <c r="B52" s="7" t="s">
        <v>27</v>
      </c>
      <c r="C52" s="8">
        <f>IF(Informações!$B$4="Simples Nacional",0,1.5%)</f>
        <v>1.4999999999999999E-2</v>
      </c>
      <c r="D52" s="6">
        <f t="shared" si="0"/>
        <v>26.916387499999999</v>
      </c>
      <c r="E52" s="7" t="s">
        <v>135</v>
      </c>
    </row>
    <row r="53" spans="1:5" ht="38.25" x14ac:dyDescent="0.25">
      <c r="A53" s="5" t="s">
        <v>12</v>
      </c>
      <c r="B53" s="7" t="s">
        <v>28</v>
      </c>
      <c r="C53" s="8">
        <f>IF(Informações!$B$4="Simples Nacional",0,1%)</f>
        <v>0.01</v>
      </c>
      <c r="D53" s="6">
        <f t="shared" si="0"/>
        <v>17.944258333333334</v>
      </c>
      <c r="E53" s="7" t="s">
        <v>136</v>
      </c>
    </row>
    <row r="54" spans="1:5" x14ac:dyDescent="0.25">
      <c r="A54" s="5" t="s">
        <v>29</v>
      </c>
      <c r="B54" s="7" t="s">
        <v>30</v>
      </c>
      <c r="C54" s="8">
        <f>IF(Informações!$B$4="Simples Nacional",0,0.6%)</f>
        <v>6.0000000000000001E-3</v>
      </c>
      <c r="D54" s="6">
        <f t="shared" si="0"/>
        <v>10.766555</v>
      </c>
      <c r="E54" s="7" t="s">
        <v>137</v>
      </c>
    </row>
    <row r="55" spans="1:5" ht="25.5" x14ac:dyDescent="0.25">
      <c r="A55" s="5" t="s">
        <v>14</v>
      </c>
      <c r="B55" s="7" t="s">
        <v>31</v>
      </c>
      <c r="C55" s="8">
        <f>IF(Informações!$B$4="Simples Nacional",0,0.2%)</f>
        <v>2E-3</v>
      </c>
      <c r="D55" s="6">
        <f t="shared" si="0"/>
        <v>3.5888516666666663</v>
      </c>
      <c r="E55" s="7" t="s">
        <v>138</v>
      </c>
    </row>
    <row r="56" spans="1:5" x14ac:dyDescent="0.25">
      <c r="A56" s="5" t="s">
        <v>32</v>
      </c>
      <c r="B56" s="7" t="s">
        <v>33</v>
      </c>
      <c r="C56" s="8">
        <v>0.08</v>
      </c>
      <c r="D56" s="6">
        <f t="shared" si="0"/>
        <v>143.55406666666667</v>
      </c>
      <c r="E56" s="7" t="s">
        <v>149</v>
      </c>
    </row>
    <row r="57" spans="1:5" x14ac:dyDescent="0.25">
      <c r="A57" s="194" t="s">
        <v>34</v>
      </c>
      <c r="B57" s="196"/>
      <c r="C57" s="42">
        <f>SUM(C49:C56)</f>
        <v>0.39800000000000008</v>
      </c>
      <c r="D57" s="10">
        <f>SUM(D49:D56)</f>
        <v>714.18148166666674</v>
      </c>
      <c r="E57" s="22"/>
    </row>
    <row r="60" spans="1:5" x14ac:dyDescent="0.25">
      <c r="A60" s="189" t="s">
        <v>35</v>
      </c>
      <c r="B60" s="189"/>
      <c r="C60" s="189"/>
      <c r="D60" s="189"/>
      <c r="E60" s="189"/>
    </row>
    <row r="62" spans="1:5" x14ac:dyDescent="0.25">
      <c r="A62" s="31" t="s">
        <v>36</v>
      </c>
      <c r="B62" s="194" t="s">
        <v>37</v>
      </c>
      <c r="C62" s="196"/>
      <c r="D62" s="31" t="s">
        <v>3</v>
      </c>
      <c r="E62" s="31" t="s">
        <v>129</v>
      </c>
    </row>
    <row r="63" spans="1:5" ht="64.5" x14ac:dyDescent="0.25">
      <c r="A63" s="5" t="s">
        <v>4</v>
      </c>
      <c r="B63" s="197" t="s">
        <v>120</v>
      </c>
      <c r="C63" s="198"/>
      <c r="D63" s="6">
        <f>IF(VLOOKUP(B63,Beneficios!$A$1:$F$8,1,FALSE)=Copeira!B62,VLOOKUP(B63,Beneficios!$A$1:$F$8,6,FALSE))-$D$25*Beneficios!$E$2</f>
        <v>169.84740000000005</v>
      </c>
      <c r="E63" s="44" t="s">
        <v>139</v>
      </c>
    </row>
    <row r="64" spans="1:5" x14ac:dyDescent="0.25">
      <c r="A64" s="5" t="s">
        <v>6</v>
      </c>
      <c r="B64" s="197" t="s">
        <v>38</v>
      </c>
      <c r="C64" s="198">
        <f>22*16-(22*16)*20%</f>
        <v>281.60000000000002</v>
      </c>
      <c r="D64" s="6">
        <f>IF(VLOOKUP(B64,Beneficios!$A$1:$F$8,1,FALSE)=Copeira!B63,VLOOKUP(B64,Beneficios!$A$1:$F$8,6,FALSE))</f>
        <v>326.12800000000004</v>
      </c>
      <c r="E64" s="22" t="s">
        <v>220</v>
      </c>
    </row>
    <row r="65" spans="1:5" x14ac:dyDescent="0.25">
      <c r="A65" s="5" t="s">
        <v>8</v>
      </c>
      <c r="B65" s="197" t="s">
        <v>106</v>
      </c>
      <c r="C65" s="198">
        <f>120</f>
        <v>120</v>
      </c>
      <c r="D65" s="6">
        <f>IF(VLOOKUP(B65,Beneficios!$A$1:$F$8,1,FALSE)=Copeira!B64,VLOOKUP(B65,Beneficios!$A$1:$F$8,6,FALSE))</f>
        <v>130.80000000000001</v>
      </c>
      <c r="E65" s="22" t="s">
        <v>140</v>
      </c>
    </row>
    <row r="66" spans="1:5" x14ac:dyDescent="0.25">
      <c r="A66" s="5" t="s">
        <v>10</v>
      </c>
      <c r="B66" s="197" t="s">
        <v>215</v>
      </c>
      <c r="C66" s="198"/>
      <c r="D66" s="6">
        <v>49</v>
      </c>
      <c r="E66" s="22" t="s">
        <v>140</v>
      </c>
    </row>
    <row r="67" spans="1:5" x14ac:dyDescent="0.25">
      <c r="A67" s="5" t="s">
        <v>12</v>
      </c>
      <c r="B67" s="197" t="s">
        <v>192</v>
      </c>
      <c r="C67" s="198"/>
      <c r="D67" s="6"/>
      <c r="E67" s="22" t="s">
        <v>140</v>
      </c>
    </row>
    <row r="68" spans="1:5" x14ac:dyDescent="0.25">
      <c r="A68" s="5" t="s">
        <v>29</v>
      </c>
      <c r="B68" s="197" t="s">
        <v>192</v>
      </c>
      <c r="C68" s="198"/>
      <c r="D68" s="6"/>
      <c r="E68" s="22" t="s">
        <v>140</v>
      </c>
    </row>
    <row r="69" spans="1:5" x14ac:dyDescent="0.25">
      <c r="A69" s="5" t="s">
        <v>14</v>
      </c>
      <c r="B69" s="197" t="s">
        <v>192</v>
      </c>
      <c r="C69" s="198"/>
      <c r="D69" s="6"/>
      <c r="E69" s="22" t="s">
        <v>140</v>
      </c>
    </row>
    <row r="70" spans="1:5" x14ac:dyDescent="0.25">
      <c r="A70" s="194" t="s">
        <v>15</v>
      </c>
      <c r="B70" s="195"/>
      <c r="C70" s="196"/>
      <c r="D70" s="10">
        <f>SUM(D63:D69)</f>
        <v>675.7754000000001</v>
      </c>
      <c r="E70" s="22"/>
    </row>
    <row r="73" spans="1:5" x14ac:dyDescent="0.25">
      <c r="A73" s="189" t="s">
        <v>39</v>
      </c>
      <c r="B73" s="189"/>
      <c r="C73" s="189"/>
      <c r="D73" s="189"/>
      <c r="E73" s="189"/>
    </row>
    <row r="75" spans="1:5" x14ac:dyDescent="0.25">
      <c r="A75" s="31">
        <v>2</v>
      </c>
      <c r="B75" s="55" t="s">
        <v>40</v>
      </c>
      <c r="C75" s="56"/>
      <c r="D75" s="31" t="s">
        <v>3</v>
      </c>
      <c r="E75" s="31" t="s">
        <v>90</v>
      </c>
    </row>
    <row r="76" spans="1:5" x14ac:dyDescent="0.25">
      <c r="A76" s="5" t="s">
        <v>18</v>
      </c>
      <c r="B76" s="57" t="s">
        <v>19</v>
      </c>
      <c r="C76" s="58"/>
      <c r="D76" s="6">
        <f>D43</f>
        <v>292.11583333333334</v>
      </c>
      <c r="E76" s="22"/>
    </row>
    <row r="77" spans="1:5" x14ac:dyDescent="0.25">
      <c r="A77" s="5" t="s">
        <v>22</v>
      </c>
      <c r="B77" s="57" t="s">
        <v>23</v>
      </c>
      <c r="C77" s="58"/>
      <c r="D77" s="6">
        <f>D57</f>
        <v>714.18148166666674</v>
      </c>
      <c r="E77" s="22"/>
    </row>
    <row r="78" spans="1:5" x14ac:dyDescent="0.25">
      <c r="A78" s="5" t="s">
        <v>36</v>
      </c>
      <c r="B78" s="57" t="s">
        <v>37</v>
      </c>
      <c r="C78" s="58"/>
      <c r="D78" s="6">
        <f>D70</f>
        <v>675.7754000000001</v>
      </c>
      <c r="E78" s="22"/>
    </row>
    <row r="79" spans="1:5" x14ac:dyDescent="0.25">
      <c r="A79" s="194" t="s">
        <v>15</v>
      </c>
      <c r="B79" s="195"/>
      <c r="C79" s="196"/>
      <c r="D79" s="10">
        <f>SUM(D76:D78)</f>
        <v>1682.0727150000002</v>
      </c>
      <c r="E79" s="22"/>
    </row>
    <row r="80" spans="1:5" x14ac:dyDescent="0.25">
      <c r="A80" s="3"/>
    </row>
    <row r="82" spans="1:5" x14ac:dyDescent="0.25">
      <c r="A82" s="189" t="s">
        <v>41</v>
      </c>
      <c r="B82" s="189"/>
      <c r="C82" s="189"/>
      <c r="D82" s="189"/>
      <c r="E82" s="189"/>
    </row>
    <row r="84" spans="1:5" x14ac:dyDescent="0.25">
      <c r="A84" s="31">
        <v>3</v>
      </c>
      <c r="B84" s="31" t="s">
        <v>42</v>
      </c>
      <c r="C84" s="31" t="s">
        <v>24</v>
      </c>
      <c r="D84" s="31" t="s">
        <v>3</v>
      </c>
      <c r="E84" s="31" t="s">
        <v>129</v>
      </c>
    </row>
    <row r="85" spans="1:5" x14ac:dyDescent="0.25">
      <c r="A85" s="5" t="s">
        <v>4</v>
      </c>
      <c r="B85" s="9" t="s">
        <v>43</v>
      </c>
      <c r="C85" s="17">
        <f>1/12*5%</f>
        <v>4.1666666666666666E-3</v>
      </c>
      <c r="D85" s="6">
        <f>($D$32+$D$76)*C85</f>
        <v>7.4767743055555549</v>
      </c>
      <c r="E85" s="7" t="s">
        <v>141</v>
      </c>
    </row>
    <row r="86" spans="1:5" x14ac:dyDescent="0.25">
      <c r="A86" s="5" t="s">
        <v>6</v>
      </c>
      <c r="B86" s="9" t="s">
        <v>44</v>
      </c>
      <c r="C86" s="18">
        <f>8%*C85</f>
        <v>3.3333333333333332E-4</v>
      </c>
      <c r="D86" s="6">
        <f t="shared" ref="D86:D90" si="1">($D$32+$D$76)*C86</f>
        <v>0.59814194444444435</v>
      </c>
      <c r="E86" s="44" t="s">
        <v>151</v>
      </c>
    </row>
    <row r="87" spans="1:5" ht="25.5" x14ac:dyDescent="0.25">
      <c r="A87" s="5" t="s">
        <v>8</v>
      </c>
      <c r="B87" s="9" t="s">
        <v>119</v>
      </c>
      <c r="C87" s="34">
        <v>0.04</v>
      </c>
      <c r="D87" s="6">
        <f t="shared" si="1"/>
        <v>71.777033333333335</v>
      </c>
      <c r="E87" s="7" t="s">
        <v>142</v>
      </c>
    </row>
    <row r="88" spans="1:5" x14ac:dyDescent="0.25">
      <c r="A88" s="5" t="s">
        <v>10</v>
      </c>
      <c r="B88" s="9" t="s">
        <v>45</v>
      </c>
      <c r="C88" s="17">
        <f>7/30/12</f>
        <v>1.9444444444444445E-2</v>
      </c>
      <c r="D88" s="6">
        <f t="shared" si="1"/>
        <v>34.891613425925925</v>
      </c>
      <c r="E88" s="7" t="s">
        <v>144</v>
      </c>
    </row>
    <row r="89" spans="1:5" ht="25.5" x14ac:dyDescent="0.25">
      <c r="A89" s="5" t="s">
        <v>12</v>
      </c>
      <c r="B89" s="9" t="s">
        <v>46</v>
      </c>
      <c r="C89" s="17">
        <f>C57*C88</f>
        <v>7.7388888888888906E-3</v>
      </c>
      <c r="D89" s="6">
        <f t="shared" si="1"/>
        <v>13.88686214351852</v>
      </c>
      <c r="E89" s="44" t="s">
        <v>152</v>
      </c>
    </row>
    <row r="90" spans="1:5" ht="16.5" customHeight="1" x14ac:dyDescent="0.25">
      <c r="A90" s="5" t="s">
        <v>29</v>
      </c>
      <c r="B90" s="9"/>
      <c r="C90" s="17"/>
      <c r="D90" s="6">
        <f t="shared" si="1"/>
        <v>0</v>
      </c>
      <c r="E90" s="44"/>
    </row>
    <row r="91" spans="1:5" x14ac:dyDescent="0.25">
      <c r="A91" s="31" t="s">
        <v>15</v>
      </c>
      <c r="B91" s="31"/>
      <c r="C91" s="10"/>
      <c r="D91" s="10">
        <f>SUM(D85:D90)</f>
        <v>128.63042515277778</v>
      </c>
      <c r="E91" s="44"/>
    </row>
    <row r="94" spans="1:5" x14ac:dyDescent="0.25">
      <c r="A94" s="189" t="s">
        <v>47</v>
      </c>
      <c r="B94" s="189"/>
      <c r="C94" s="189"/>
      <c r="D94" s="189"/>
      <c r="E94" s="189"/>
    </row>
    <row r="96" spans="1:5" x14ac:dyDescent="0.25">
      <c r="A96" s="189" t="s">
        <v>48</v>
      </c>
      <c r="B96" s="189"/>
      <c r="C96" s="189"/>
      <c r="D96" s="189"/>
      <c r="E96" s="189"/>
    </row>
    <row r="97" spans="1:5" x14ac:dyDescent="0.25">
      <c r="A97" s="2"/>
    </row>
    <row r="98" spans="1:5" x14ac:dyDescent="0.25">
      <c r="A98" s="31" t="s">
        <v>49</v>
      </c>
      <c r="B98" s="31" t="s">
        <v>50</v>
      </c>
      <c r="C98" s="31" t="s">
        <v>24</v>
      </c>
      <c r="D98" s="31" t="s">
        <v>3</v>
      </c>
      <c r="E98" s="31" t="s">
        <v>129</v>
      </c>
    </row>
    <row r="99" spans="1:5" x14ac:dyDescent="0.25">
      <c r="A99" s="5" t="s">
        <v>4</v>
      </c>
      <c r="B99" s="7" t="s">
        <v>51</v>
      </c>
      <c r="C99" s="16">
        <f>IF($C$41&gt;0,0,1/12)</f>
        <v>0</v>
      </c>
      <c r="D99" s="6">
        <f t="shared" ref="D99:D104" si="2">($D$32+$D$79+$D$91)*C99</f>
        <v>0</v>
      </c>
      <c r="E99" s="22" t="s">
        <v>143</v>
      </c>
    </row>
    <row r="100" spans="1:5" x14ac:dyDescent="0.25">
      <c r="A100" s="5" t="s">
        <v>6</v>
      </c>
      <c r="B100" s="7" t="s">
        <v>50</v>
      </c>
      <c r="C100" s="16">
        <f>(100%/30)*1.4947/12</f>
        <v>4.1519444444444442E-3</v>
      </c>
      <c r="D100" s="6">
        <f t="shared" si="2"/>
        <v>13.75544650162877</v>
      </c>
      <c r="E100" s="7" t="s">
        <v>145</v>
      </c>
    </row>
    <row r="101" spans="1:5" x14ac:dyDescent="0.25">
      <c r="A101" s="5" t="s">
        <v>8</v>
      </c>
      <c r="B101" s="7" t="s">
        <v>52</v>
      </c>
      <c r="C101" s="16">
        <f>5/360*1.416%</f>
        <v>1.9666666666666663E-4</v>
      </c>
      <c r="D101" s="6">
        <f t="shared" si="2"/>
        <v>0.65155925089671285</v>
      </c>
      <c r="E101" s="7" t="s">
        <v>146</v>
      </c>
    </row>
    <row r="102" spans="1:5" x14ac:dyDescent="0.25">
      <c r="A102" s="5" t="s">
        <v>10</v>
      </c>
      <c r="B102" s="7" t="s">
        <v>53</v>
      </c>
      <c r="C102" s="16">
        <f>(100%/30)*15/12*(582507/69481633)</f>
        <v>3.4931713536439187E-4</v>
      </c>
      <c r="D102" s="6">
        <f t="shared" si="2"/>
        <v>1.1572922595427568</v>
      </c>
      <c r="E102" s="54" t="s">
        <v>147</v>
      </c>
    </row>
    <row r="103" spans="1:5" x14ac:dyDescent="0.25">
      <c r="A103" s="5" t="s">
        <v>12</v>
      </c>
      <c r="B103" s="7" t="s">
        <v>54</v>
      </c>
      <c r="C103" s="16">
        <f>4/12*(8.33%+8.33%+2.78%)*1.416%</f>
        <v>9.175679999999999E-4</v>
      </c>
      <c r="D103" s="6">
        <f t="shared" si="2"/>
        <v>3.0399148409837036</v>
      </c>
      <c r="E103" s="44" t="s">
        <v>148</v>
      </c>
    </row>
    <row r="104" spans="1:5" x14ac:dyDescent="0.25">
      <c r="A104" s="5" t="s">
        <v>29</v>
      </c>
      <c r="B104" s="7" t="s">
        <v>154</v>
      </c>
      <c r="C104" s="16">
        <f>(1462463/54796761)/12</f>
        <v>2.2240715407734896E-3</v>
      </c>
      <c r="D104" s="6">
        <f t="shared" si="2"/>
        <v>7.3683782392224053</v>
      </c>
      <c r="E104" s="44"/>
    </row>
    <row r="105" spans="1:5" x14ac:dyDescent="0.25">
      <c r="A105" s="194" t="s">
        <v>34</v>
      </c>
      <c r="B105" s="195"/>
      <c r="C105" s="196"/>
      <c r="D105" s="10">
        <f>SUM(D99:D104)</f>
        <v>25.972591092274346</v>
      </c>
      <c r="E105" s="22"/>
    </row>
    <row r="108" spans="1:5" x14ac:dyDescent="0.25">
      <c r="A108" s="189" t="s">
        <v>55</v>
      </c>
      <c r="B108" s="189"/>
      <c r="C108" s="189"/>
      <c r="D108" s="189"/>
      <c r="E108" s="189"/>
    </row>
    <row r="109" spans="1:5" x14ac:dyDescent="0.25">
      <c r="A109" s="2"/>
    </row>
    <row r="110" spans="1:5" x14ac:dyDescent="0.25">
      <c r="A110" s="31" t="s">
        <v>56</v>
      </c>
      <c r="B110" s="194" t="s">
        <v>57</v>
      </c>
      <c r="C110" s="196"/>
      <c r="D110" s="31" t="s">
        <v>3</v>
      </c>
      <c r="E110" s="31" t="s">
        <v>129</v>
      </c>
    </row>
    <row r="111" spans="1:5" x14ac:dyDescent="0.25">
      <c r="A111" s="5" t="s">
        <v>4</v>
      </c>
      <c r="B111" s="197" t="s">
        <v>58</v>
      </c>
      <c r="C111" s="198"/>
      <c r="D111" s="6"/>
      <c r="E111" s="22"/>
    </row>
    <row r="112" spans="1:5" x14ac:dyDescent="0.25">
      <c r="A112" s="194" t="s">
        <v>15</v>
      </c>
      <c r="B112" s="195"/>
      <c r="C112" s="196"/>
      <c r="D112" s="6">
        <f>D111</f>
        <v>0</v>
      </c>
      <c r="E112" s="22"/>
    </row>
    <row r="115" spans="1:5" x14ac:dyDescent="0.25">
      <c r="A115" s="189" t="s">
        <v>59</v>
      </c>
      <c r="B115" s="189"/>
      <c r="C115" s="189"/>
      <c r="D115" s="189"/>
      <c r="E115" s="189"/>
    </row>
    <row r="116" spans="1:5" x14ac:dyDescent="0.25">
      <c r="A116" s="2"/>
    </row>
    <row r="117" spans="1:5" x14ac:dyDescent="0.25">
      <c r="A117" s="31">
        <v>4</v>
      </c>
      <c r="B117" s="55" t="s">
        <v>60</v>
      </c>
      <c r="C117" s="56"/>
      <c r="D117" s="31" t="s">
        <v>3</v>
      </c>
      <c r="E117" s="31" t="s">
        <v>90</v>
      </c>
    </row>
    <row r="118" spans="1:5" x14ac:dyDescent="0.25">
      <c r="A118" s="5" t="s">
        <v>49</v>
      </c>
      <c r="B118" s="57" t="s">
        <v>50</v>
      </c>
      <c r="C118" s="58"/>
      <c r="D118" s="6">
        <f>D105</f>
        <v>25.972591092274346</v>
      </c>
      <c r="E118" s="22"/>
    </row>
    <row r="119" spans="1:5" x14ac:dyDescent="0.25">
      <c r="A119" s="5" t="s">
        <v>56</v>
      </c>
      <c r="B119" s="57" t="s">
        <v>57</v>
      </c>
      <c r="C119" s="58"/>
      <c r="D119" s="6">
        <f>D112</f>
        <v>0</v>
      </c>
      <c r="E119" s="22"/>
    </row>
    <row r="120" spans="1:5" x14ac:dyDescent="0.25">
      <c r="A120" s="194" t="s">
        <v>15</v>
      </c>
      <c r="B120" s="195"/>
      <c r="C120" s="196"/>
      <c r="D120" s="10">
        <f>SUM(D118:D119)</f>
        <v>25.972591092274346</v>
      </c>
      <c r="E120" s="22"/>
    </row>
    <row r="123" spans="1:5" x14ac:dyDescent="0.25">
      <c r="A123" s="189" t="s">
        <v>61</v>
      </c>
      <c r="B123" s="189"/>
      <c r="C123" s="189"/>
      <c r="D123" s="189"/>
      <c r="E123" s="189"/>
    </row>
    <row r="125" spans="1:5" x14ac:dyDescent="0.25">
      <c r="A125" s="31">
        <v>5</v>
      </c>
      <c r="B125" s="55" t="s">
        <v>62</v>
      </c>
      <c r="C125" s="56"/>
      <c r="D125" s="31" t="s">
        <v>3</v>
      </c>
      <c r="E125" s="31" t="s">
        <v>90</v>
      </c>
    </row>
    <row r="126" spans="1:5" x14ac:dyDescent="0.25">
      <c r="A126" s="5" t="s">
        <v>4</v>
      </c>
      <c r="B126" s="57" t="s">
        <v>63</v>
      </c>
      <c r="C126" s="58"/>
      <c r="D126" s="6">
        <f>SUMIFS(Uniformes!G:G,Uniformes!H:H,Jardineiro!$C$18)</f>
        <v>82.22</v>
      </c>
      <c r="E126" s="44" t="s">
        <v>190</v>
      </c>
    </row>
    <row r="127" spans="1:5" x14ac:dyDescent="0.25">
      <c r="A127" s="5" t="s">
        <v>6</v>
      </c>
      <c r="B127" s="57" t="s">
        <v>64</v>
      </c>
      <c r="C127" s="58"/>
      <c r="D127" s="6">
        <f>SUMIFS(Materiais!H:H,Materiais!I:I,Jardineiro!C18)</f>
        <v>66.45</v>
      </c>
      <c r="E127" s="44" t="s">
        <v>190</v>
      </c>
    </row>
    <row r="128" spans="1:5" x14ac:dyDescent="0.25">
      <c r="A128" s="5" t="s">
        <v>8</v>
      </c>
      <c r="B128" s="57" t="s">
        <v>65</v>
      </c>
      <c r="C128" s="58"/>
      <c r="D128" s="6">
        <f>IFERROR(SUMIFS(Equipamentos!J:J,Equipamentos!K:K,Jardineiro!$C$18)/SUM(Resumo!H10:H12),0)</f>
        <v>22.742082335246138</v>
      </c>
      <c r="E128" s="44" t="s">
        <v>194</v>
      </c>
    </row>
    <row r="129" spans="1:5" x14ac:dyDescent="0.25">
      <c r="A129" s="5" t="s">
        <v>10</v>
      </c>
      <c r="B129" s="57" t="s">
        <v>155</v>
      </c>
      <c r="C129" s="58"/>
      <c r="D129" s="6">
        <f>SUMIFS(EPIs!G:G,EPIs!H:H,Jardineiro!$C$18)</f>
        <v>23.61</v>
      </c>
      <c r="E129" s="22"/>
    </row>
    <row r="130" spans="1:5" x14ac:dyDescent="0.25">
      <c r="A130" s="194" t="s">
        <v>34</v>
      </c>
      <c r="B130" s="195"/>
      <c r="C130" s="196"/>
      <c r="D130" s="10">
        <f>SUM(D126:D129)</f>
        <v>195.02208233524618</v>
      </c>
      <c r="E130" s="22"/>
    </row>
    <row r="133" spans="1:5" x14ac:dyDescent="0.25">
      <c r="A133" s="189" t="s">
        <v>66</v>
      </c>
      <c r="B133" s="189"/>
      <c r="C133" s="189"/>
      <c r="D133" s="189"/>
      <c r="E133" s="189"/>
    </row>
    <row r="135" spans="1:5" x14ac:dyDescent="0.25">
      <c r="A135" s="31">
        <v>6</v>
      </c>
      <c r="B135" s="11" t="s">
        <v>67</v>
      </c>
      <c r="C135" s="31" t="s">
        <v>24</v>
      </c>
      <c r="D135" s="31" t="s">
        <v>3</v>
      </c>
      <c r="E135" s="31" t="s">
        <v>129</v>
      </c>
    </row>
    <row r="136" spans="1:5" x14ac:dyDescent="0.25">
      <c r="A136" s="5" t="s">
        <v>4</v>
      </c>
      <c r="B136" s="7" t="s">
        <v>68</v>
      </c>
      <c r="C136" s="13">
        <v>0.05</v>
      </c>
      <c r="D136" s="6">
        <f>(D32+D79+D91+D120+D130)*C136</f>
        <v>176.70039067901493</v>
      </c>
      <c r="E136" s="44"/>
    </row>
    <row r="137" spans="1:5" x14ac:dyDescent="0.25">
      <c r="A137" s="5" t="s">
        <v>6</v>
      </c>
      <c r="B137" s="7" t="s">
        <v>69</v>
      </c>
      <c r="C137" s="13">
        <v>0.1</v>
      </c>
      <c r="D137" s="6">
        <f>(D32+D79+D91+D120+D130+D136)*C137</f>
        <v>371.07082042593134</v>
      </c>
      <c r="E137" s="44"/>
    </row>
    <row r="138" spans="1:5" x14ac:dyDescent="0.25">
      <c r="A138" s="5" t="s">
        <v>8</v>
      </c>
      <c r="B138" s="7" t="s">
        <v>118</v>
      </c>
      <c r="C138" s="13">
        <f>C140+C141+C144</f>
        <v>9.2499999999999999E-2</v>
      </c>
      <c r="D138" s="6">
        <f>SUM(D139:D144)</f>
        <v>416.04910168968058</v>
      </c>
      <c r="E138" s="44"/>
    </row>
    <row r="139" spans="1:5" ht="15.75" hidden="1" customHeight="1" x14ac:dyDescent="0.25">
      <c r="A139" s="5"/>
      <c r="B139" s="7" t="s">
        <v>70</v>
      </c>
      <c r="C139" s="12"/>
      <c r="D139" s="6"/>
      <c r="E139" s="44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(($D$32+$D$79+$D$91+$D$120+$D$130+$D$136+$D$137)/(1-$C$138))*C140</f>
        <v>74.214164085186269</v>
      </c>
      <c r="E140" s="44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(($D$32+$D$79+$D$91+$D$120+$D$130+$D$136+$D$137)/(1-$C$138))*C141</f>
        <v>341.83493760449431</v>
      </c>
      <c r="E141" s="44"/>
    </row>
    <row r="142" spans="1:5" ht="15.75" hidden="1" customHeight="1" x14ac:dyDescent="0.25">
      <c r="A142" s="5"/>
      <c r="B142" s="7" t="s">
        <v>71</v>
      </c>
      <c r="C142" s="12"/>
      <c r="D142" s="6">
        <f>(($D$32+$D$79+$D$91+$D$120+$D$130+$D$136+$D$137)/(1-$C$138))*C142</f>
        <v>0</v>
      </c>
      <c r="E142" s="44"/>
    </row>
    <row r="143" spans="1:5" hidden="1" x14ac:dyDescent="0.25">
      <c r="A143" s="5"/>
      <c r="B143" s="7" t="s">
        <v>72</v>
      </c>
      <c r="C143" s="12"/>
      <c r="D143" s="6">
        <f>(($D$32+$D$79+$D$91+$D$120+$D$130+$D$136+$D$137)/(1-$C$138))*C143</f>
        <v>0</v>
      </c>
      <c r="E143" s="44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Presumido",Informações!$B$5,IF(Informações!$B$4="Lucro Real",$G$4)))</f>
        <v>0</v>
      </c>
      <c r="D144" s="6">
        <f>(($D$32+$D$79+$D$91+$D$120+$D$130+$D$136+$D$137)/(1-$C$138))*C144</f>
        <v>0</v>
      </c>
      <c r="E144" s="44"/>
    </row>
    <row r="145" spans="1:5" x14ac:dyDescent="0.25">
      <c r="A145" s="31" t="s">
        <v>34</v>
      </c>
      <c r="B145" s="31"/>
      <c r="C145" s="10"/>
      <c r="D145" s="10">
        <f>D136+D137+D138</f>
        <v>963.82031279462683</v>
      </c>
      <c r="E145" s="22"/>
    </row>
    <row r="148" spans="1:5" x14ac:dyDescent="0.25">
      <c r="A148" s="189" t="s">
        <v>73</v>
      </c>
      <c r="B148" s="189"/>
      <c r="C148" s="189"/>
      <c r="D148" s="189"/>
      <c r="E148" s="189"/>
    </row>
    <row r="150" spans="1:5" x14ac:dyDescent="0.25">
      <c r="A150" s="31"/>
      <c r="B150" s="55" t="s">
        <v>74</v>
      </c>
      <c r="C150" s="56"/>
      <c r="D150" s="31" t="s">
        <v>3</v>
      </c>
      <c r="E150" s="31" t="s">
        <v>90</v>
      </c>
    </row>
    <row r="151" spans="1:5" x14ac:dyDescent="0.25">
      <c r="A151" s="5" t="s">
        <v>4</v>
      </c>
      <c r="B151" s="57" t="s">
        <v>1</v>
      </c>
      <c r="C151" s="58"/>
      <c r="D151" s="6">
        <f>D32</f>
        <v>1502.31</v>
      </c>
      <c r="E151" s="22"/>
    </row>
    <row r="152" spans="1:5" x14ac:dyDescent="0.25">
      <c r="A152" s="5" t="s">
        <v>6</v>
      </c>
      <c r="B152" s="57" t="s">
        <v>16</v>
      </c>
      <c r="C152" s="58"/>
      <c r="D152" s="6">
        <f>D79</f>
        <v>1682.0727150000002</v>
      </c>
      <c r="E152" s="22"/>
    </row>
    <row r="153" spans="1:5" x14ac:dyDescent="0.25">
      <c r="A153" s="5" t="s">
        <v>8</v>
      </c>
      <c r="B153" s="57" t="s">
        <v>41</v>
      </c>
      <c r="C153" s="58"/>
      <c r="D153" s="6">
        <f>D91</f>
        <v>128.63042515277778</v>
      </c>
      <c r="E153" s="22"/>
    </row>
    <row r="154" spans="1:5" x14ac:dyDescent="0.25">
      <c r="A154" s="5" t="s">
        <v>10</v>
      </c>
      <c r="B154" s="57" t="s">
        <v>47</v>
      </c>
      <c r="C154" s="40"/>
      <c r="D154" s="6">
        <f>D120</f>
        <v>25.972591092274346</v>
      </c>
      <c r="E154" s="22"/>
    </row>
    <row r="155" spans="1:5" x14ac:dyDescent="0.25">
      <c r="A155" s="5" t="s">
        <v>12</v>
      </c>
      <c r="B155" s="57" t="s">
        <v>61</v>
      </c>
      <c r="C155" s="40"/>
      <c r="D155" s="6">
        <f>D130</f>
        <v>195.02208233524618</v>
      </c>
      <c r="E155" s="22"/>
    </row>
    <row r="156" spans="1:5" ht="15.75" customHeight="1" x14ac:dyDescent="0.25">
      <c r="A156" s="194" t="s">
        <v>75</v>
      </c>
      <c r="B156" s="195"/>
      <c r="C156" s="196"/>
      <c r="D156" s="10">
        <f>SUM(D151:D155)</f>
        <v>3534.0078135802983</v>
      </c>
      <c r="E156" s="22"/>
    </row>
    <row r="157" spans="1:5" x14ac:dyDescent="0.25">
      <c r="A157" s="23" t="s">
        <v>29</v>
      </c>
      <c r="B157" s="57" t="s">
        <v>76</v>
      </c>
      <c r="C157" s="40"/>
      <c r="D157" s="6">
        <f>D145</f>
        <v>963.82031279462683</v>
      </c>
      <c r="E157" s="22"/>
    </row>
    <row r="158" spans="1:5" ht="15.75" customHeight="1" x14ac:dyDescent="0.25">
      <c r="A158" s="194" t="s">
        <v>77</v>
      </c>
      <c r="B158" s="195"/>
      <c r="C158" s="196"/>
      <c r="D158" s="10">
        <f>D156+D157</f>
        <v>4497.828126374925</v>
      </c>
      <c r="E158" s="22"/>
    </row>
    <row r="159" spans="1:5" ht="15.75" customHeight="1" x14ac:dyDescent="0.25">
      <c r="A159" s="194" t="s">
        <v>83</v>
      </c>
      <c r="B159" s="195"/>
      <c r="C159" s="196"/>
      <c r="D159" s="10" t="e">
        <f>D158*#REF!</f>
        <v>#REF!</v>
      </c>
      <c r="E159" s="22"/>
    </row>
    <row r="160" spans="1:5" ht="15.75" customHeight="1" x14ac:dyDescent="0.25">
      <c r="A160" s="194" t="s">
        <v>84</v>
      </c>
      <c r="B160" s="195"/>
      <c r="C160" s="196"/>
      <c r="D160" s="10" t="e">
        <f>D159*12</f>
        <v>#REF!</v>
      </c>
      <c r="E160" s="22"/>
    </row>
  </sheetData>
  <mergeCells count="54">
    <mergeCell ref="A9:D9"/>
    <mergeCell ref="A1:E1"/>
    <mergeCell ref="C5:D5"/>
    <mergeCell ref="C6:D6"/>
    <mergeCell ref="C7:D7"/>
    <mergeCell ref="C8:D8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B66:C66"/>
    <mergeCell ref="A32:B32"/>
    <mergeCell ref="A35:E35"/>
    <mergeCell ref="A37:E37"/>
    <mergeCell ref="A43:B43"/>
    <mergeCell ref="A46:E46"/>
    <mergeCell ref="A57:B57"/>
    <mergeCell ref="A60:E60"/>
    <mergeCell ref="B62:C62"/>
    <mergeCell ref="B63:C63"/>
    <mergeCell ref="B64:C64"/>
    <mergeCell ref="B65:C65"/>
    <mergeCell ref="B110:C110"/>
    <mergeCell ref="B67:C67"/>
    <mergeCell ref="B68:C68"/>
    <mergeCell ref="B69:C69"/>
    <mergeCell ref="A70:C70"/>
    <mergeCell ref="A73:E73"/>
    <mergeCell ref="A79:C79"/>
    <mergeCell ref="A82:E82"/>
    <mergeCell ref="A94:E94"/>
    <mergeCell ref="A96:E96"/>
    <mergeCell ref="A105:C105"/>
    <mergeCell ref="A108:E108"/>
    <mergeCell ref="A160:C160"/>
    <mergeCell ref="B111:C111"/>
    <mergeCell ref="A112:C112"/>
    <mergeCell ref="A115:E115"/>
    <mergeCell ref="A120:C120"/>
    <mergeCell ref="A123:E123"/>
    <mergeCell ref="A130:C130"/>
    <mergeCell ref="A133:E133"/>
    <mergeCell ref="A148:E148"/>
    <mergeCell ref="A156:C156"/>
    <mergeCell ref="A158:C158"/>
    <mergeCell ref="A159:C159"/>
  </mergeCells>
  <dataValidations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4" max="6" man="1"/>
    <brk id="59" max="6" man="1"/>
    <brk id="93" max="6" man="1"/>
    <brk id="122" max="6" man="1"/>
    <brk id="147" max="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0"/>
  <sheetViews>
    <sheetView showGridLines="0" zoomScaleNormal="100" workbookViewId="0">
      <selection activeCell="C18" sqref="C18:E18"/>
    </sheetView>
  </sheetViews>
  <sheetFormatPr defaultColWidth="9.140625" defaultRowHeight="15.75" x14ac:dyDescent="0.25"/>
  <cols>
    <col min="1" max="1" width="10.85546875" style="1" customWidth="1"/>
    <col min="2" max="2" width="54.140625" style="1" customWidth="1"/>
    <col min="3" max="3" width="16.42578125" style="1" customWidth="1"/>
    <col min="4" max="4" width="18.42578125" style="1" customWidth="1"/>
    <col min="5" max="5" width="32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10" x14ac:dyDescent="0.25">
      <c r="A1" s="189" t="s">
        <v>0</v>
      </c>
      <c r="B1" s="189"/>
      <c r="C1" s="189"/>
      <c r="D1" s="189"/>
      <c r="E1" s="189"/>
      <c r="F1" s="1" t="s">
        <v>124</v>
      </c>
      <c r="G1" s="1" t="s">
        <v>122</v>
      </c>
      <c r="I1" s="45" t="s">
        <v>123</v>
      </c>
      <c r="J1" s="1" t="s">
        <v>122</v>
      </c>
    </row>
    <row r="2" spans="1:10" x14ac:dyDescent="0.25">
      <c r="A2" s="60" t="s">
        <v>107</v>
      </c>
      <c r="B2" s="60"/>
      <c r="F2" s="1" t="s">
        <v>195</v>
      </c>
      <c r="G2" s="88">
        <v>1212</v>
      </c>
      <c r="H2" s="15" t="s">
        <v>85</v>
      </c>
    </row>
    <row r="3" spans="1:10" x14ac:dyDescent="0.25">
      <c r="A3" s="22" t="s">
        <v>108</v>
      </c>
      <c r="B3" s="22"/>
      <c r="G3" s="87"/>
      <c r="H3" s="15"/>
    </row>
    <row r="4" spans="1:10" x14ac:dyDescent="0.25">
      <c r="A4" s="14"/>
      <c r="B4" s="14"/>
      <c r="H4" s="15"/>
    </row>
    <row r="5" spans="1:10" x14ac:dyDescent="0.25">
      <c r="A5" s="5" t="s">
        <v>4</v>
      </c>
      <c r="B5" s="57" t="s">
        <v>109</v>
      </c>
      <c r="C5" s="206"/>
      <c r="D5" s="207"/>
      <c r="H5" s="15"/>
    </row>
    <row r="6" spans="1:10" x14ac:dyDescent="0.25">
      <c r="A6" s="5" t="s">
        <v>6</v>
      </c>
      <c r="B6" s="57" t="s">
        <v>110</v>
      </c>
      <c r="C6" s="207"/>
      <c r="D6" s="207"/>
      <c r="H6" s="15"/>
    </row>
    <row r="7" spans="1:10" ht="25.5" x14ac:dyDescent="0.25">
      <c r="A7" s="5" t="s">
        <v>8</v>
      </c>
      <c r="B7" s="57" t="s">
        <v>111</v>
      </c>
      <c r="C7" s="207"/>
      <c r="D7" s="207"/>
      <c r="H7" s="15"/>
    </row>
    <row r="8" spans="1:10" x14ac:dyDescent="0.25">
      <c r="A8" s="5" t="s">
        <v>10</v>
      </c>
      <c r="B8" s="57" t="s">
        <v>112</v>
      </c>
      <c r="C8" s="207"/>
      <c r="D8" s="207"/>
      <c r="H8" s="15"/>
    </row>
    <row r="9" spans="1:10" x14ac:dyDescent="0.25">
      <c r="A9" s="205"/>
      <c r="B9" s="205"/>
      <c r="C9" s="205"/>
      <c r="D9" s="205"/>
      <c r="E9" s="59"/>
    </row>
    <row r="10" spans="1:10" x14ac:dyDescent="0.25">
      <c r="A10" s="189" t="s">
        <v>78</v>
      </c>
      <c r="B10" s="189"/>
      <c r="C10" s="189"/>
      <c r="D10" s="189"/>
      <c r="E10" s="189"/>
    </row>
    <row r="11" spans="1:10" ht="25.5" customHeight="1" x14ac:dyDescent="0.25">
      <c r="A11" s="199" t="s">
        <v>79</v>
      </c>
      <c r="B11" s="199"/>
      <c r="C11" s="32" t="s">
        <v>80</v>
      </c>
      <c r="D11" s="86" t="s">
        <v>81</v>
      </c>
      <c r="E11" s="86" t="s">
        <v>189</v>
      </c>
    </row>
    <row r="12" spans="1:10" ht="15.75" customHeight="1" x14ac:dyDescent="0.25">
      <c r="A12" s="200" t="s">
        <v>104</v>
      </c>
      <c r="B12" s="200"/>
      <c r="C12" s="202" t="s">
        <v>82</v>
      </c>
      <c r="D12" s="202">
        <v>2</v>
      </c>
      <c r="E12" s="202">
        <v>2</v>
      </c>
    </row>
    <row r="13" spans="1:10" x14ac:dyDescent="0.25">
      <c r="A13" s="201"/>
      <c r="B13" s="201"/>
      <c r="C13" s="203"/>
      <c r="D13" s="203"/>
      <c r="E13" s="203"/>
    </row>
    <row r="14" spans="1:10" x14ac:dyDescent="0.25">
      <c r="A14" s="4"/>
      <c r="B14" s="4"/>
      <c r="C14" s="4"/>
      <c r="D14" s="4"/>
      <c r="E14" s="4"/>
    </row>
    <row r="15" spans="1:10" x14ac:dyDescent="0.25">
      <c r="A15" s="38">
        <v>1</v>
      </c>
      <c r="B15" s="37" t="s">
        <v>113</v>
      </c>
      <c r="C15" s="204" t="s">
        <v>104</v>
      </c>
      <c r="D15" s="204"/>
      <c r="E15" s="204"/>
      <c r="F15" s="36"/>
    </row>
    <row r="16" spans="1:10" x14ac:dyDescent="0.25">
      <c r="A16" s="38">
        <v>2</v>
      </c>
      <c r="B16" s="37" t="s">
        <v>114</v>
      </c>
      <c r="C16" s="204"/>
      <c r="D16" s="204"/>
      <c r="E16" s="204"/>
      <c r="F16" s="36"/>
    </row>
    <row r="17" spans="1:6" x14ac:dyDescent="0.25">
      <c r="A17" s="38">
        <v>3</v>
      </c>
      <c r="B17" s="37" t="s">
        <v>115</v>
      </c>
      <c r="C17" s="204"/>
      <c r="D17" s="204"/>
      <c r="E17" s="204"/>
      <c r="F17" s="36"/>
    </row>
    <row r="18" spans="1:6" x14ac:dyDescent="0.25">
      <c r="A18" s="38">
        <v>4</v>
      </c>
      <c r="B18" s="37" t="s">
        <v>116</v>
      </c>
      <c r="C18" s="204" t="s">
        <v>159</v>
      </c>
      <c r="D18" s="204"/>
      <c r="E18" s="204"/>
      <c r="F18" s="36"/>
    </row>
    <row r="19" spans="1:6" x14ac:dyDescent="0.25">
      <c r="A19" s="38">
        <v>5</v>
      </c>
      <c r="B19" s="37" t="s">
        <v>117</v>
      </c>
      <c r="C19" s="204"/>
      <c r="D19" s="204"/>
      <c r="E19" s="204"/>
      <c r="F19" s="36"/>
    </row>
    <row r="20" spans="1:6" x14ac:dyDescent="0.25">
      <c r="A20" s="4"/>
      <c r="B20" s="4"/>
      <c r="C20" s="4"/>
      <c r="D20" s="4"/>
      <c r="E20" s="4"/>
    </row>
    <row r="22" spans="1:6" x14ac:dyDescent="0.25">
      <c r="A22" s="189" t="s">
        <v>1</v>
      </c>
      <c r="B22" s="189"/>
      <c r="C22" s="189"/>
      <c r="D22" s="189"/>
      <c r="E22" s="189"/>
    </row>
    <row r="24" spans="1:6" ht="25.5" customHeight="1" x14ac:dyDescent="0.25">
      <c r="A24" s="31">
        <v>1</v>
      </c>
      <c r="B24" s="55" t="s">
        <v>2</v>
      </c>
      <c r="C24" s="31" t="s">
        <v>24</v>
      </c>
      <c r="D24" s="31" t="s">
        <v>3</v>
      </c>
      <c r="E24" s="31" t="s">
        <v>129</v>
      </c>
    </row>
    <row r="25" spans="1:6" x14ac:dyDescent="0.25">
      <c r="A25" s="5" t="s">
        <v>4</v>
      </c>
      <c r="B25" s="57" t="s">
        <v>5</v>
      </c>
      <c r="C25" s="13"/>
      <c r="D25" s="6">
        <v>1359.65</v>
      </c>
      <c r="E25" s="22" t="s">
        <v>140</v>
      </c>
    </row>
    <row r="26" spans="1:6" x14ac:dyDescent="0.25">
      <c r="A26" s="5" t="s">
        <v>6</v>
      </c>
      <c r="B26" s="57" t="s">
        <v>7</v>
      </c>
      <c r="C26" s="13">
        <v>0</v>
      </c>
      <c r="D26" s="6">
        <f>D25*C26</f>
        <v>0</v>
      </c>
      <c r="E26" s="22" t="s">
        <v>140</v>
      </c>
    </row>
    <row r="27" spans="1:6" x14ac:dyDescent="0.25">
      <c r="A27" s="5" t="s">
        <v>8</v>
      </c>
      <c r="B27" s="57" t="s">
        <v>9</v>
      </c>
      <c r="C27" s="13">
        <v>0</v>
      </c>
      <c r="D27" s="6">
        <f>C27*Informações!$B$3</f>
        <v>0</v>
      </c>
      <c r="E27" s="22" t="s">
        <v>140</v>
      </c>
    </row>
    <row r="28" spans="1:6" x14ac:dyDescent="0.25">
      <c r="A28" s="5" t="s">
        <v>10</v>
      </c>
      <c r="B28" s="57" t="s">
        <v>11</v>
      </c>
      <c r="C28" s="13"/>
      <c r="D28" s="6"/>
      <c r="E28" s="22" t="s">
        <v>140</v>
      </c>
    </row>
    <row r="29" spans="1:6" x14ac:dyDescent="0.25">
      <c r="A29" s="5" t="s">
        <v>12</v>
      </c>
      <c r="B29" s="57" t="s">
        <v>13</v>
      </c>
      <c r="C29" s="13"/>
      <c r="D29" s="6"/>
      <c r="E29" s="22" t="s">
        <v>140</v>
      </c>
    </row>
    <row r="30" spans="1:6" x14ac:dyDescent="0.25">
      <c r="A30" s="5" t="s">
        <v>14</v>
      </c>
      <c r="B30" s="57" t="s">
        <v>105</v>
      </c>
      <c r="C30" s="13"/>
      <c r="D30" s="6">
        <v>52.63</v>
      </c>
      <c r="E30" s="22" t="s">
        <v>140</v>
      </c>
    </row>
    <row r="31" spans="1:6" x14ac:dyDescent="0.25">
      <c r="A31" s="5" t="s">
        <v>14</v>
      </c>
      <c r="B31" s="57" t="s">
        <v>193</v>
      </c>
      <c r="C31" s="13"/>
      <c r="D31" s="6">
        <f>1100*C31</f>
        <v>0</v>
      </c>
      <c r="E31" s="22" t="s">
        <v>140</v>
      </c>
    </row>
    <row r="32" spans="1:6" x14ac:dyDescent="0.25">
      <c r="A32" s="194" t="s">
        <v>15</v>
      </c>
      <c r="B32" s="196"/>
      <c r="C32" s="10"/>
      <c r="D32" s="10">
        <f>SUM(D25:D31)</f>
        <v>1412.2800000000002</v>
      </c>
      <c r="E32" s="10"/>
    </row>
    <row r="35" spans="1:5" x14ac:dyDescent="0.25">
      <c r="A35" s="189" t="s">
        <v>16</v>
      </c>
      <c r="B35" s="189"/>
      <c r="C35" s="189"/>
      <c r="D35" s="189"/>
      <c r="E35" s="189"/>
    </row>
    <row r="36" spans="1:5" x14ac:dyDescent="0.25">
      <c r="A36" s="2"/>
    </row>
    <row r="37" spans="1:5" x14ac:dyDescent="0.25">
      <c r="A37" s="189" t="s">
        <v>17</v>
      </c>
      <c r="B37" s="189"/>
      <c r="C37" s="189"/>
      <c r="D37" s="189"/>
      <c r="E37" s="189"/>
    </row>
    <row r="39" spans="1:5" x14ac:dyDescent="0.25">
      <c r="A39" s="31" t="s">
        <v>18</v>
      </c>
      <c r="B39" s="31" t="s">
        <v>19</v>
      </c>
      <c r="C39" s="31" t="s">
        <v>24</v>
      </c>
      <c r="D39" s="31" t="s">
        <v>3</v>
      </c>
      <c r="E39" s="31" t="s">
        <v>129</v>
      </c>
    </row>
    <row r="40" spans="1:5" x14ac:dyDescent="0.25">
      <c r="A40" s="5" t="s">
        <v>4</v>
      </c>
      <c r="B40" s="7" t="s">
        <v>20</v>
      </c>
      <c r="C40" s="13">
        <f>1/12</f>
        <v>8.3333333333333329E-2</v>
      </c>
      <c r="D40" s="6">
        <f>$D$32*C40</f>
        <v>117.69000000000001</v>
      </c>
      <c r="E40" s="22" t="s">
        <v>130</v>
      </c>
    </row>
    <row r="41" spans="1:5" x14ac:dyDescent="0.25">
      <c r="A41" s="5" t="s">
        <v>6</v>
      </c>
      <c r="B41" s="7" t="s">
        <v>51</v>
      </c>
      <c r="C41" s="13">
        <f>1/12</f>
        <v>8.3333333333333329E-2</v>
      </c>
      <c r="D41" s="6">
        <f>$D$32*C41</f>
        <v>117.69000000000001</v>
      </c>
      <c r="E41" s="22" t="s">
        <v>150</v>
      </c>
    </row>
    <row r="42" spans="1:5" x14ac:dyDescent="0.25">
      <c r="A42" s="5" t="s">
        <v>8</v>
      </c>
      <c r="B42" s="7" t="s">
        <v>86</v>
      </c>
      <c r="C42" s="13">
        <f>1/12/3</f>
        <v>2.7777777777777776E-2</v>
      </c>
      <c r="D42" s="6">
        <f>$D$32*C42</f>
        <v>39.230000000000004</v>
      </c>
      <c r="E42" s="65" t="s">
        <v>143</v>
      </c>
    </row>
    <row r="43" spans="1:5" x14ac:dyDescent="0.25">
      <c r="A43" s="194" t="s">
        <v>15</v>
      </c>
      <c r="B43" s="196"/>
      <c r="C43" s="10"/>
      <c r="D43" s="10">
        <f>SUM(D40:D42)</f>
        <v>274.61</v>
      </c>
      <c r="E43" s="22"/>
    </row>
    <row r="44" spans="1:5" x14ac:dyDescent="0.25">
      <c r="D44" s="61"/>
    </row>
    <row r="46" spans="1:5" x14ac:dyDescent="0.25">
      <c r="A46" s="189" t="s">
        <v>21</v>
      </c>
      <c r="B46" s="189"/>
      <c r="C46" s="189"/>
      <c r="D46" s="189"/>
      <c r="E46" s="189"/>
    </row>
    <row r="48" spans="1:5" x14ac:dyDescent="0.25">
      <c r="A48" s="31" t="s">
        <v>22</v>
      </c>
      <c r="B48" s="31" t="s">
        <v>23</v>
      </c>
      <c r="C48" s="31" t="s">
        <v>24</v>
      </c>
      <c r="D48" s="31" t="s">
        <v>3</v>
      </c>
      <c r="E48" s="31" t="s">
        <v>129</v>
      </c>
    </row>
    <row r="49" spans="1:5" ht="38.25" x14ac:dyDescent="0.25">
      <c r="A49" s="5" t="s">
        <v>4</v>
      </c>
      <c r="B49" s="7" t="s">
        <v>25</v>
      </c>
      <c r="C49" s="8">
        <v>0.2</v>
      </c>
      <c r="D49" s="6">
        <f>($D$32+$D$43)*C49</f>
        <v>337.3780000000001</v>
      </c>
      <c r="E49" s="7" t="s">
        <v>131</v>
      </c>
    </row>
    <row r="50" spans="1:5" ht="25.5" x14ac:dyDescent="0.25">
      <c r="A50" s="5" t="s">
        <v>6</v>
      </c>
      <c r="B50" s="7" t="s">
        <v>26</v>
      </c>
      <c r="C50" s="8">
        <f>IF(Informações!$B$4="Simples Nacional",0,2.5%)</f>
        <v>2.5000000000000001E-2</v>
      </c>
      <c r="D50" s="6">
        <f t="shared" ref="D50:D56" si="0">($D$32+$D$43)*C50</f>
        <v>42.172250000000012</v>
      </c>
      <c r="E50" s="7" t="s">
        <v>132</v>
      </c>
    </row>
    <row r="51" spans="1:5" ht="25.5" x14ac:dyDescent="0.25">
      <c r="A51" s="5" t="s">
        <v>8</v>
      </c>
      <c r="B51" s="7" t="s">
        <v>134</v>
      </c>
      <c r="C51" s="33">
        <v>0.06</v>
      </c>
      <c r="D51" s="6">
        <f t="shared" si="0"/>
        <v>101.21340000000002</v>
      </c>
      <c r="E51" s="7" t="s">
        <v>133</v>
      </c>
    </row>
    <row r="52" spans="1:5" x14ac:dyDescent="0.25">
      <c r="A52" s="5" t="s">
        <v>10</v>
      </c>
      <c r="B52" s="7" t="s">
        <v>27</v>
      </c>
      <c r="C52" s="8">
        <f>IF(Informações!$B$4="Simples Nacional",0,1.5%)</f>
        <v>1.4999999999999999E-2</v>
      </c>
      <c r="D52" s="6">
        <f t="shared" si="0"/>
        <v>25.303350000000005</v>
      </c>
      <c r="E52" s="7" t="s">
        <v>135</v>
      </c>
    </row>
    <row r="53" spans="1:5" ht="38.25" x14ac:dyDescent="0.25">
      <c r="A53" s="5" t="s">
        <v>12</v>
      </c>
      <c r="B53" s="7" t="s">
        <v>28</v>
      </c>
      <c r="C53" s="8">
        <f>IF(Informações!$B$4="Simples Nacional",0,1%)</f>
        <v>0.01</v>
      </c>
      <c r="D53" s="6">
        <f t="shared" si="0"/>
        <v>16.868900000000004</v>
      </c>
      <c r="E53" s="7" t="s">
        <v>136</v>
      </c>
    </row>
    <row r="54" spans="1:5" x14ac:dyDescent="0.25">
      <c r="A54" s="5" t="s">
        <v>29</v>
      </c>
      <c r="B54" s="7" t="s">
        <v>30</v>
      </c>
      <c r="C54" s="8">
        <f>IF(Informações!$B$4="Simples Nacional",0,0.6%)</f>
        <v>6.0000000000000001E-3</v>
      </c>
      <c r="D54" s="6">
        <f t="shared" si="0"/>
        <v>10.121340000000002</v>
      </c>
      <c r="E54" s="7" t="s">
        <v>137</v>
      </c>
    </row>
    <row r="55" spans="1:5" ht="25.5" x14ac:dyDescent="0.25">
      <c r="A55" s="5" t="s">
        <v>14</v>
      </c>
      <c r="B55" s="7" t="s">
        <v>31</v>
      </c>
      <c r="C55" s="8">
        <f>IF(Informações!$B$4="Simples Nacional",0,0.2%)</f>
        <v>2E-3</v>
      </c>
      <c r="D55" s="6">
        <f t="shared" si="0"/>
        <v>3.3737800000000009</v>
      </c>
      <c r="E55" s="7" t="s">
        <v>138</v>
      </c>
    </row>
    <row r="56" spans="1:5" x14ac:dyDescent="0.25">
      <c r="A56" s="5" t="s">
        <v>32</v>
      </c>
      <c r="B56" s="7" t="s">
        <v>33</v>
      </c>
      <c r="C56" s="8">
        <v>0.08</v>
      </c>
      <c r="D56" s="6">
        <f t="shared" si="0"/>
        <v>134.95120000000003</v>
      </c>
      <c r="E56" s="7" t="s">
        <v>149</v>
      </c>
    </row>
    <row r="57" spans="1:5" x14ac:dyDescent="0.25">
      <c r="A57" s="194" t="s">
        <v>34</v>
      </c>
      <c r="B57" s="196"/>
      <c r="C57" s="42">
        <f>SUM(C49:C56)</f>
        <v>0.39800000000000008</v>
      </c>
      <c r="D57" s="10">
        <f>SUM(D49:D56)</f>
        <v>671.38222000000019</v>
      </c>
      <c r="E57" s="22"/>
    </row>
    <row r="60" spans="1:5" x14ac:dyDescent="0.25">
      <c r="A60" s="189" t="s">
        <v>35</v>
      </c>
      <c r="B60" s="189"/>
      <c r="C60" s="189"/>
      <c r="D60" s="189"/>
      <c r="E60" s="189"/>
    </row>
    <row r="62" spans="1:5" x14ac:dyDescent="0.25">
      <c r="A62" s="31" t="s">
        <v>36</v>
      </c>
      <c r="B62" s="194" t="s">
        <v>37</v>
      </c>
      <c r="C62" s="196"/>
      <c r="D62" s="31" t="s">
        <v>3</v>
      </c>
      <c r="E62" s="31" t="s">
        <v>129</v>
      </c>
    </row>
    <row r="63" spans="1:5" ht="64.5" x14ac:dyDescent="0.25">
      <c r="A63" s="5" t="s">
        <v>4</v>
      </c>
      <c r="B63" s="197" t="s">
        <v>120</v>
      </c>
      <c r="C63" s="198"/>
      <c r="D63" s="6">
        <f>IF(VLOOKUP(B63,Beneficios!$A$1:$F$8,1,FALSE)='Aux. Jardim'!B63,VLOOKUP(B63,Beneficios!$A$1:$F$8,6,FALSE))-$D$25*Beneficios!$E$2</f>
        <v>175.82100000000003</v>
      </c>
      <c r="E63" s="44" t="s">
        <v>139</v>
      </c>
    </row>
    <row r="64" spans="1:5" x14ac:dyDescent="0.25">
      <c r="A64" s="5" t="s">
        <v>6</v>
      </c>
      <c r="B64" s="197" t="s">
        <v>38</v>
      </c>
      <c r="C64" s="198">
        <f>22*16-(22*16)*20%</f>
        <v>281.60000000000002</v>
      </c>
      <c r="D64" s="6">
        <f>IF(VLOOKUP(B64,Beneficios!$A$1:$F$8,1,FALSE)='Aux. Jardim'!B64,VLOOKUP(B64,Beneficios!$A$1:$F$8,6,FALSE))</f>
        <v>326.12800000000004</v>
      </c>
      <c r="E64" s="22" t="s">
        <v>220</v>
      </c>
    </row>
    <row r="65" spans="1:5" x14ac:dyDescent="0.25">
      <c r="A65" s="5" t="s">
        <v>8</v>
      </c>
      <c r="B65" s="197" t="s">
        <v>106</v>
      </c>
      <c r="C65" s="198">
        <f>120</f>
        <v>120</v>
      </c>
      <c r="D65" s="6">
        <f>IF(VLOOKUP(B65,Beneficios!$A$1:$F$8,1,FALSE)='Aux. Jardim'!B65,VLOOKUP(B65,Beneficios!$A$1:$F$8,6,FALSE))</f>
        <v>130.80000000000001</v>
      </c>
      <c r="E65" s="22" t="s">
        <v>140</v>
      </c>
    </row>
    <row r="66" spans="1:5" x14ac:dyDescent="0.25">
      <c r="A66" s="5" t="s">
        <v>10</v>
      </c>
      <c r="B66" s="197" t="s">
        <v>215</v>
      </c>
      <c r="C66" s="198"/>
      <c r="D66" s="6">
        <v>49</v>
      </c>
      <c r="E66" s="22" t="s">
        <v>140</v>
      </c>
    </row>
    <row r="67" spans="1:5" x14ac:dyDescent="0.25">
      <c r="A67" s="5" t="s">
        <v>12</v>
      </c>
      <c r="B67" s="197" t="s">
        <v>193</v>
      </c>
      <c r="C67" s="198"/>
      <c r="D67" s="6"/>
      <c r="E67" s="22" t="s">
        <v>140</v>
      </c>
    </row>
    <row r="68" spans="1:5" x14ac:dyDescent="0.25">
      <c r="A68" s="5" t="s">
        <v>29</v>
      </c>
      <c r="B68" s="197" t="s">
        <v>193</v>
      </c>
      <c r="C68" s="198"/>
      <c r="D68" s="6"/>
      <c r="E68" s="22" t="s">
        <v>140</v>
      </c>
    </row>
    <row r="69" spans="1:5" x14ac:dyDescent="0.25">
      <c r="A69" s="5" t="s">
        <v>14</v>
      </c>
      <c r="B69" s="197" t="s">
        <v>193</v>
      </c>
      <c r="C69" s="198"/>
      <c r="D69" s="6"/>
      <c r="E69" s="22" t="s">
        <v>140</v>
      </c>
    </row>
    <row r="70" spans="1:5" x14ac:dyDescent="0.25">
      <c r="A70" s="194" t="s">
        <v>15</v>
      </c>
      <c r="B70" s="195"/>
      <c r="C70" s="196"/>
      <c r="D70" s="10">
        <f>SUM(D63:D69)</f>
        <v>681.74900000000002</v>
      </c>
      <c r="E70" s="22"/>
    </row>
    <row r="73" spans="1:5" x14ac:dyDescent="0.25">
      <c r="A73" s="189" t="s">
        <v>39</v>
      </c>
      <c r="B73" s="189"/>
      <c r="C73" s="189"/>
      <c r="D73" s="189"/>
      <c r="E73" s="189"/>
    </row>
    <row r="75" spans="1:5" x14ac:dyDescent="0.25">
      <c r="A75" s="31">
        <v>2</v>
      </c>
      <c r="B75" s="55" t="s">
        <v>40</v>
      </c>
      <c r="C75" s="56"/>
      <c r="D75" s="31" t="s">
        <v>3</v>
      </c>
      <c r="E75" s="31" t="s">
        <v>90</v>
      </c>
    </row>
    <row r="76" spans="1:5" x14ac:dyDescent="0.25">
      <c r="A76" s="5" t="s">
        <v>18</v>
      </c>
      <c r="B76" s="57" t="s">
        <v>19</v>
      </c>
      <c r="C76" s="58"/>
      <c r="D76" s="6">
        <f>D43</f>
        <v>274.61</v>
      </c>
      <c r="E76" s="22"/>
    </row>
    <row r="77" spans="1:5" x14ac:dyDescent="0.25">
      <c r="A77" s="5" t="s">
        <v>22</v>
      </c>
      <c r="B77" s="57" t="s">
        <v>23</v>
      </c>
      <c r="C77" s="58"/>
      <c r="D77" s="6">
        <f>D57</f>
        <v>671.38222000000019</v>
      </c>
      <c r="E77" s="22"/>
    </row>
    <row r="78" spans="1:5" x14ac:dyDescent="0.25">
      <c r="A78" s="5" t="s">
        <v>36</v>
      </c>
      <c r="B78" s="57" t="s">
        <v>37</v>
      </c>
      <c r="C78" s="58"/>
      <c r="D78" s="6">
        <f>D70</f>
        <v>681.74900000000002</v>
      </c>
      <c r="E78" s="22"/>
    </row>
    <row r="79" spans="1:5" x14ac:dyDescent="0.25">
      <c r="A79" s="194" t="s">
        <v>15</v>
      </c>
      <c r="B79" s="195"/>
      <c r="C79" s="196"/>
      <c r="D79" s="10">
        <f>SUM(D76:D78)</f>
        <v>1627.7412200000003</v>
      </c>
      <c r="E79" s="22"/>
    </row>
    <row r="80" spans="1:5" x14ac:dyDescent="0.25">
      <c r="A80" s="3"/>
    </row>
    <row r="82" spans="1:5" x14ac:dyDescent="0.25">
      <c r="A82" s="189" t="s">
        <v>41</v>
      </c>
      <c r="B82" s="189"/>
      <c r="C82" s="189"/>
      <c r="D82" s="189"/>
      <c r="E82" s="189"/>
    </row>
    <row r="84" spans="1:5" x14ac:dyDescent="0.25">
      <c r="A84" s="31">
        <v>3</v>
      </c>
      <c r="B84" s="31" t="s">
        <v>42</v>
      </c>
      <c r="C84" s="31" t="s">
        <v>24</v>
      </c>
      <c r="D84" s="31" t="s">
        <v>3</v>
      </c>
      <c r="E84" s="31" t="s">
        <v>129</v>
      </c>
    </row>
    <row r="85" spans="1:5" x14ac:dyDescent="0.25">
      <c r="A85" s="5" t="s">
        <v>4</v>
      </c>
      <c r="B85" s="9" t="s">
        <v>43</v>
      </c>
      <c r="C85" s="17">
        <f>1/12*5%</f>
        <v>4.1666666666666666E-3</v>
      </c>
      <c r="D85" s="6">
        <f>($D$32+$D$76)*C85</f>
        <v>7.0287083333333342</v>
      </c>
      <c r="E85" s="7" t="s">
        <v>141</v>
      </c>
    </row>
    <row r="86" spans="1:5" x14ac:dyDescent="0.25">
      <c r="A86" s="5" t="s">
        <v>6</v>
      </c>
      <c r="B86" s="9" t="s">
        <v>44</v>
      </c>
      <c r="C86" s="18">
        <f>8%*C85</f>
        <v>3.3333333333333332E-4</v>
      </c>
      <c r="D86" s="6">
        <f t="shared" ref="D86:D90" si="1">($D$32+$D$76)*C86</f>
        <v>0.56229666666666678</v>
      </c>
      <c r="E86" s="44" t="s">
        <v>151</v>
      </c>
    </row>
    <row r="87" spans="1:5" ht="25.5" x14ac:dyDescent="0.25">
      <c r="A87" s="5" t="s">
        <v>8</v>
      </c>
      <c r="B87" s="9" t="s">
        <v>119</v>
      </c>
      <c r="C87" s="34">
        <v>0.04</v>
      </c>
      <c r="D87" s="6">
        <f t="shared" si="1"/>
        <v>67.475600000000014</v>
      </c>
      <c r="E87" s="7" t="s">
        <v>142</v>
      </c>
    </row>
    <row r="88" spans="1:5" x14ac:dyDescent="0.25">
      <c r="A88" s="5" t="s">
        <v>10</v>
      </c>
      <c r="B88" s="9" t="s">
        <v>45</v>
      </c>
      <c r="C88" s="17">
        <f>7/30/12</f>
        <v>1.9444444444444445E-2</v>
      </c>
      <c r="D88" s="6">
        <f t="shared" si="1"/>
        <v>32.800638888888898</v>
      </c>
      <c r="E88" s="7" t="s">
        <v>144</v>
      </c>
    </row>
    <row r="89" spans="1:5" ht="25.5" x14ac:dyDescent="0.25">
      <c r="A89" s="5" t="s">
        <v>12</v>
      </c>
      <c r="B89" s="9" t="s">
        <v>46</v>
      </c>
      <c r="C89" s="17">
        <f>C57*C88</f>
        <v>7.7388888888888906E-3</v>
      </c>
      <c r="D89" s="6">
        <f t="shared" si="1"/>
        <v>13.054654277777784</v>
      </c>
      <c r="E89" s="44" t="s">
        <v>152</v>
      </c>
    </row>
    <row r="90" spans="1:5" ht="16.5" customHeight="1" x14ac:dyDescent="0.25">
      <c r="A90" s="5" t="s">
        <v>29</v>
      </c>
      <c r="B90" s="9"/>
      <c r="C90" s="17"/>
      <c r="D90" s="6">
        <f t="shared" si="1"/>
        <v>0</v>
      </c>
      <c r="E90" s="44"/>
    </row>
    <row r="91" spans="1:5" x14ac:dyDescent="0.25">
      <c r="A91" s="31" t="s">
        <v>15</v>
      </c>
      <c r="B91" s="31"/>
      <c r="C91" s="10"/>
      <c r="D91" s="10">
        <f>SUM(D85:D90)</f>
        <v>120.92189816666669</v>
      </c>
      <c r="E91" s="44"/>
    </row>
    <row r="94" spans="1:5" x14ac:dyDescent="0.25">
      <c r="A94" s="189" t="s">
        <v>47</v>
      </c>
      <c r="B94" s="189"/>
      <c r="C94" s="189"/>
      <c r="D94" s="189"/>
      <c r="E94" s="189"/>
    </row>
    <row r="96" spans="1:5" x14ac:dyDescent="0.25">
      <c r="A96" s="189" t="s">
        <v>48</v>
      </c>
      <c r="B96" s="189"/>
      <c r="C96" s="189"/>
      <c r="D96" s="189"/>
      <c r="E96" s="189"/>
    </row>
    <row r="97" spans="1:5" x14ac:dyDescent="0.25">
      <c r="A97" s="2"/>
    </row>
    <row r="98" spans="1:5" x14ac:dyDescent="0.25">
      <c r="A98" s="31" t="s">
        <v>49</v>
      </c>
      <c r="B98" s="31" t="s">
        <v>50</v>
      </c>
      <c r="C98" s="31" t="s">
        <v>24</v>
      </c>
      <c r="D98" s="31" t="s">
        <v>3</v>
      </c>
      <c r="E98" s="31" t="s">
        <v>129</v>
      </c>
    </row>
    <row r="99" spans="1:5" x14ac:dyDescent="0.25">
      <c r="A99" s="5" t="s">
        <v>4</v>
      </c>
      <c r="B99" s="7" t="s">
        <v>51</v>
      </c>
      <c r="C99" s="84">
        <f>IF($C$41&gt;0,0,1/12)</f>
        <v>0</v>
      </c>
      <c r="D99" s="6">
        <f t="shared" ref="D99:D104" si="2">($D$32+$D$79+$D$91)*C99</f>
        <v>0</v>
      </c>
      <c r="E99" s="65" t="s">
        <v>143</v>
      </c>
    </row>
    <row r="100" spans="1:5" x14ac:dyDescent="0.25">
      <c r="A100" s="5" t="s">
        <v>6</v>
      </c>
      <c r="B100" s="7" t="s">
        <v>50</v>
      </c>
      <c r="C100" s="16">
        <f>(100%/30)*1.4947/12</f>
        <v>4.1519444444444442E-3</v>
      </c>
      <c r="D100" s="6">
        <f t="shared" si="2"/>
        <v>13.124060218676993</v>
      </c>
      <c r="E100" s="7" t="s">
        <v>145</v>
      </c>
    </row>
    <row r="101" spans="1:5" x14ac:dyDescent="0.25">
      <c r="A101" s="5" t="s">
        <v>8</v>
      </c>
      <c r="B101" s="7" t="s">
        <v>52</v>
      </c>
      <c r="C101" s="16">
        <f>5/360*1.416%</f>
        <v>1.9666666666666663E-4</v>
      </c>
      <c r="D101" s="6">
        <f t="shared" si="2"/>
        <v>0.62165214657277779</v>
      </c>
      <c r="E101" s="7" t="s">
        <v>146</v>
      </c>
    </row>
    <row r="102" spans="1:5" x14ac:dyDescent="0.25">
      <c r="A102" s="5" t="s">
        <v>10</v>
      </c>
      <c r="B102" s="7" t="s">
        <v>53</v>
      </c>
      <c r="C102" s="16">
        <f>(100%/30)*15/12*(582507/69481633)</f>
        <v>3.4931713536439187E-4</v>
      </c>
      <c r="D102" s="6">
        <f t="shared" si="2"/>
        <v>1.1041715950877686</v>
      </c>
      <c r="E102" s="54" t="s">
        <v>147</v>
      </c>
    </row>
    <row r="103" spans="1:5" x14ac:dyDescent="0.25">
      <c r="A103" s="5" t="s">
        <v>12</v>
      </c>
      <c r="B103" s="7" t="s">
        <v>54</v>
      </c>
      <c r="C103" s="16">
        <f>4/12*(8.33%+8.33%+2.78%)*1.416%</f>
        <v>9.175679999999999E-4</v>
      </c>
      <c r="D103" s="6">
        <f t="shared" si="2"/>
        <v>2.9003802550499524</v>
      </c>
      <c r="E103" s="44" t="s">
        <v>148</v>
      </c>
    </row>
    <row r="104" spans="1:5" x14ac:dyDescent="0.25">
      <c r="A104" s="5" t="s">
        <v>29</v>
      </c>
      <c r="B104" s="7" t="s">
        <v>154</v>
      </c>
      <c r="C104" s="16">
        <f>(1462463/54796761)/12</f>
        <v>2.2240715407734896E-3</v>
      </c>
      <c r="D104" s="6">
        <f t="shared" si="2"/>
        <v>7.030163631118298</v>
      </c>
      <c r="E104" s="44"/>
    </row>
    <row r="105" spans="1:5" x14ac:dyDescent="0.25">
      <c r="A105" s="194" t="s">
        <v>34</v>
      </c>
      <c r="B105" s="195"/>
      <c r="C105" s="196"/>
      <c r="D105" s="10">
        <f>SUM(D99:D104)</f>
        <v>24.780427846505791</v>
      </c>
      <c r="E105" s="22"/>
    </row>
    <row r="108" spans="1:5" x14ac:dyDescent="0.25">
      <c r="A108" s="208" t="s">
        <v>55</v>
      </c>
      <c r="B108" s="208"/>
      <c r="C108" s="208"/>
      <c r="D108" s="208"/>
      <c r="E108" s="208"/>
    </row>
    <row r="109" spans="1:5" x14ac:dyDescent="0.25">
      <c r="A109" s="2"/>
    </row>
    <row r="110" spans="1:5" x14ac:dyDescent="0.25">
      <c r="A110" s="31" t="s">
        <v>56</v>
      </c>
      <c r="B110" s="194" t="s">
        <v>57</v>
      </c>
      <c r="C110" s="196"/>
      <c r="D110" s="31" t="s">
        <v>3</v>
      </c>
      <c r="E110" s="31" t="s">
        <v>129</v>
      </c>
    </row>
    <row r="111" spans="1:5" x14ac:dyDescent="0.25">
      <c r="A111" s="5" t="s">
        <v>4</v>
      </c>
      <c r="B111" s="197" t="s">
        <v>58</v>
      </c>
      <c r="C111" s="198"/>
      <c r="D111" s="6"/>
      <c r="E111" s="22"/>
    </row>
    <row r="112" spans="1:5" x14ac:dyDescent="0.25">
      <c r="A112" s="194" t="s">
        <v>15</v>
      </c>
      <c r="B112" s="195"/>
      <c r="C112" s="196"/>
      <c r="D112" s="6">
        <f>D111</f>
        <v>0</v>
      </c>
      <c r="E112" s="22"/>
    </row>
    <row r="115" spans="1:5" x14ac:dyDescent="0.25">
      <c r="A115" s="189" t="s">
        <v>59</v>
      </c>
      <c r="B115" s="189"/>
      <c r="C115" s="189"/>
      <c r="D115" s="189"/>
      <c r="E115" s="189"/>
    </row>
    <row r="116" spans="1:5" x14ac:dyDescent="0.25">
      <c r="A116" s="2"/>
    </row>
    <row r="117" spans="1:5" x14ac:dyDescent="0.25">
      <c r="A117" s="31">
        <v>4</v>
      </c>
      <c r="B117" s="55" t="s">
        <v>60</v>
      </c>
      <c r="C117" s="56"/>
      <c r="D117" s="31" t="s">
        <v>3</v>
      </c>
      <c r="E117" s="31" t="s">
        <v>90</v>
      </c>
    </row>
    <row r="118" spans="1:5" x14ac:dyDescent="0.25">
      <c r="A118" s="5" t="s">
        <v>49</v>
      </c>
      <c r="B118" s="57" t="s">
        <v>50</v>
      </c>
      <c r="C118" s="58"/>
      <c r="D118" s="6">
        <f>D105</f>
        <v>24.780427846505791</v>
      </c>
      <c r="E118" s="22"/>
    </row>
    <row r="119" spans="1:5" x14ac:dyDescent="0.25">
      <c r="A119" s="5" t="s">
        <v>56</v>
      </c>
      <c r="B119" s="57" t="s">
        <v>57</v>
      </c>
      <c r="C119" s="58"/>
      <c r="D119" s="6">
        <f>D112</f>
        <v>0</v>
      </c>
      <c r="E119" s="22"/>
    </row>
    <row r="120" spans="1:5" x14ac:dyDescent="0.25">
      <c r="A120" s="194" t="s">
        <v>15</v>
      </c>
      <c r="B120" s="195"/>
      <c r="C120" s="196"/>
      <c r="D120" s="10">
        <f>SUM(D118:D119)</f>
        <v>24.780427846505791</v>
      </c>
      <c r="E120" s="22"/>
    </row>
    <row r="123" spans="1:5" x14ac:dyDescent="0.25">
      <c r="A123" s="189" t="s">
        <v>61</v>
      </c>
      <c r="B123" s="189"/>
      <c r="C123" s="189"/>
      <c r="D123" s="189"/>
      <c r="E123" s="189"/>
    </row>
    <row r="125" spans="1:5" x14ac:dyDescent="0.25">
      <c r="A125" s="31">
        <v>5</v>
      </c>
      <c r="B125" s="55" t="s">
        <v>62</v>
      </c>
      <c r="C125" s="56"/>
      <c r="D125" s="31" t="s">
        <v>3</v>
      </c>
      <c r="E125" s="31" t="s">
        <v>90</v>
      </c>
    </row>
    <row r="126" spans="1:5" x14ac:dyDescent="0.25">
      <c r="A126" s="5" t="s">
        <v>4</v>
      </c>
      <c r="B126" s="57" t="s">
        <v>63</v>
      </c>
      <c r="C126" s="58"/>
      <c r="D126" s="6">
        <f>SUMIFS(Uniformes!G:G,Uniformes!H:H,'Aux. Jardim'!$C$18)</f>
        <v>82.22</v>
      </c>
      <c r="E126" s="44" t="s">
        <v>190</v>
      </c>
    </row>
    <row r="127" spans="1:5" x14ac:dyDescent="0.25">
      <c r="A127" s="5" t="s">
        <v>6</v>
      </c>
      <c r="B127" s="57" t="s">
        <v>64</v>
      </c>
      <c r="C127" s="58"/>
      <c r="D127" s="6">
        <f>SUMIFS(Materiais!H:H,Materiais!I:I,'Aux. Jardim'!C18)</f>
        <v>66.45</v>
      </c>
      <c r="E127" s="44" t="s">
        <v>190</v>
      </c>
    </row>
    <row r="128" spans="1:5" x14ac:dyDescent="0.25">
      <c r="A128" s="5" t="s">
        <v>8</v>
      </c>
      <c r="B128" s="57" t="s">
        <v>65</v>
      </c>
      <c r="C128" s="58"/>
      <c r="D128" s="6">
        <f>IFERROR(SUMIFS(Equipamentos!J:J,Equipamentos!K:K,'Aux. Jardim'!$C$18)/SUM(Resumo!H10:H12),0)</f>
        <v>22.742082335246138</v>
      </c>
      <c r="E128" s="44" t="s">
        <v>194</v>
      </c>
    </row>
    <row r="129" spans="1:5" x14ac:dyDescent="0.25">
      <c r="A129" s="5" t="s">
        <v>10</v>
      </c>
      <c r="B129" s="57" t="s">
        <v>155</v>
      </c>
      <c r="C129" s="58"/>
      <c r="D129" s="6">
        <f>SUMIFS(EPIs!G:G,EPIs!H:H,'Aux. Jardim'!$C$18)</f>
        <v>23.61</v>
      </c>
      <c r="E129" s="22"/>
    </row>
    <row r="130" spans="1:5" x14ac:dyDescent="0.25">
      <c r="A130" s="194" t="s">
        <v>34</v>
      </c>
      <c r="B130" s="195"/>
      <c r="C130" s="196"/>
      <c r="D130" s="10">
        <f>SUM(D126:D129)</f>
        <v>195.02208233524618</v>
      </c>
      <c r="E130" s="22"/>
    </row>
    <row r="133" spans="1:5" x14ac:dyDescent="0.25">
      <c r="A133" s="189" t="s">
        <v>66</v>
      </c>
      <c r="B133" s="189"/>
      <c r="C133" s="189"/>
      <c r="D133" s="189"/>
      <c r="E133" s="189"/>
    </row>
    <row r="135" spans="1:5" x14ac:dyDescent="0.25">
      <c r="A135" s="31">
        <v>6</v>
      </c>
      <c r="B135" s="11" t="s">
        <v>67</v>
      </c>
      <c r="C135" s="31" t="s">
        <v>24</v>
      </c>
      <c r="D135" s="31" t="s">
        <v>3</v>
      </c>
      <c r="E135" s="31" t="s">
        <v>129</v>
      </c>
    </row>
    <row r="136" spans="1:5" x14ac:dyDescent="0.25">
      <c r="A136" s="5" t="s">
        <v>4</v>
      </c>
      <c r="B136" s="7" t="s">
        <v>68</v>
      </c>
      <c r="C136" s="12">
        <v>0.05</v>
      </c>
      <c r="D136" s="6">
        <f>(D32+D79+D91+D120+D130)*C136</f>
        <v>169.03728141742099</v>
      </c>
      <c r="E136" s="44"/>
    </row>
    <row r="137" spans="1:5" x14ac:dyDescent="0.25">
      <c r="A137" s="5" t="s">
        <v>6</v>
      </c>
      <c r="B137" s="7" t="s">
        <v>69</v>
      </c>
      <c r="C137" s="12">
        <v>0.1</v>
      </c>
      <c r="D137" s="6">
        <f>(D32+D79+D91+D120+D130+D136)*C137</f>
        <v>354.97829097658405</v>
      </c>
      <c r="E137" s="44"/>
    </row>
    <row r="138" spans="1:5" x14ac:dyDescent="0.25">
      <c r="A138" s="5" t="s">
        <v>8</v>
      </c>
      <c r="B138" s="7" t="s">
        <v>118</v>
      </c>
      <c r="C138" s="13">
        <f>C140+C141+C144</f>
        <v>9.2499999999999999E-2</v>
      </c>
      <c r="D138" s="6">
        <f>SUM(D139:D144)</f>
        <v>398.00596261010941</v>
      </c>
      <c r="E138" s="44"/>
    </row>
    <row r="139" spans="1:5" ht="15.75" hidden="1" customHeight="1" x14ac:dyDescent="0.25">
      <c r="A139" s="5"/>
      <c r="B139" s="7" t="s">
        <v>70</v>
      </c>
      <c r="C139" s="12"/>
      <c r="D139" s="6"/>
      <c r="E139" s="44"/>
    </row>
    <row r="140" spans="1:5" x14ac:dyDescent="0.25">
      <c r="A140" s="5"/>
      <c r="B140" s="19" t="s">
        <v>87</v>
      </c>
      <c r="C140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40" s="6">
        <f>(($D$32+$D$79+$D$91+$D$120+$D$130+$D$136+$D$137)/(1-$C$138))*C140</f>
        <v>70.995658195316821</v>
      </c>
      <c r="E140" s="44"/>
    </row>
    <row r="141" spans="1:5" x14ac:dyDescent="0.25">
      <c r="A141" s="5"/>
      <c r="B141" s="19" t="s">
        <v>88</v>
      </c>
      <c r="C141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1" s="6">
        <f>(($D$32+$D$79+$D$91+$D$120+$D$130+$D$136+$D$137)/(1-$C$138))*C141</f>
        <v>327.01030441479259</v>
      </c>
      <c r="E141" s="44"/>
    </row>
    <row r="142" spans="1:5" ht="15.75" hidden="1" customHeight="1" x14ac:dyDescent="0.25">
      <c r="A142" s="5"/>
      <c r="B142" s="7" t="s">
        <v>71</v>
      </c>
      <c r="C142" s="12"/>
      <c r="D142" s="6">
        <f>(($D$32+$D$79+$D$91+$D$120+$D$130+$D$136+$D$137)/(1-$C$138))*C142</f>
        <v>0</v>
      </c>
      <c r="E142" s="44"/>
    </row>
    <row r="143" spans="1:5" hidden="1" x14ac:dyDescent="0.25">
      <c r="A143" s="5"/>
      <c r="B143" s="7" t="s">
        <v>72</v>
      </c>
      <c r="C143" s="12"/>
      <c r="D143" s="6">
        <f>(($D$32+$D$79+$D$91+$D$120+$D$130+$D$136+$D$137)/(1-$C$138))*C143</f>
        <v>0</v>
      </c>
      <c r="E143" s="44"/>
    </row>
    <row r="144" spans="1:5" x14ac:dyDescent="0.25">
      <c r="A144" s="5"/>
      <c r="B144" s="19" t="s">
        <v>89</v>
      </c>
      <c r="C144" s="13">
        <f>IF(Informações!$B$4="Simples Nacional",'Tributos - Simples'!$B$8/100,IF(Informações!$B$4="Lucro Presumido",Informações!$B$4,IF(Informações!$B$4="Lucro Real",$G$4)))</f>
        <v>0</v>
      </c>
      <c r="D144" s="6">
        <f>(($D$32+$D$79+$D$91+$D$120+$D$130+$D$136+$D$137)/(1-$C$138))*C144</f>
        <v>0</v>
      </c>
      <c r="E144" s="44"/>
    </row>
    <row r="145" spans="1:5" x14ac:dyDescent="0.25">
      <c r="A145" s="31" t="s">
        <v>34</v>
      </c>
      <c r="B145" s="31"/>
      <c r="C145" s="10"/>
      <c r="D145" s="10">
        <f>D136+D137+D138</f>
        <v>922.02153500411441</v>
      </c>
      <c r="E145" s="22"/>
    </row>
    <row r="148" spans="1:5" x14ac:dyDescent="0.25">
      <c r="A148" s="189" t="s">
        <v>73</v>
      </c>
      <c r="B148" s="189"/>
      <c r="C148" s="189"/>
      <c r="D148" s="189"/>
      <c r="E148" s="189"/>
    </row>
    <row r="150" spans="1:5" x14ac:dyDescent="0.25">
      <c r="A150" s="31"/>
      <c r="B150" s="55" t="s">
        <v>74</v>
      </c>
      <c r="C150" s="56"/>
      <c r="D150" s="31" t="s">
        <v>3</v>
      </c>
      <c r="E150" s="31" t="s">
        <v>90</v>
      </c>
    </row>
    <row r="151" spans="1:5" x14ac:dyDescent="0.25">
      <c r="A151" s="5" t="s">
        <v>4</v>
      </c>
      <c r="B151" s="57" t="s">
        <v>1</v>
      </c>
      <c r="C151" s="58"/>
      <c r="D151" s="6">
        <f>D32</f>
        <v>1412.2800000000002</v>
      </c>
      <c r="E151" s="22"/>
    </row>
    <row r="152" spans="1:5" x14ac:dyDescent="0.25">
      <c r="A152" s="5" t="s">
        <v>6</v>
      </c>
      <c r="B152" s="57" t="s">
        <v>16</v>
      </c>
      <c r="C152" s="58"/>
      <c r="D152" s="6">
        <f>D79</f>
        <v>1627.7412200000003</v>
      </c>
      <c r="E152" s="22"/>
    </row>
    <row r="153" spans="1:5" x14ac:dyDescent="0.25">
      <c r="A153" s="5" t="s">
        <v>8</v>
      </c>
      <c r="B153" s="57" t="s">
        <v>41</v>
      </c>
      <c r="C153" s="58"/>
      <c r="D153" s="6">
        <f>D91</f>
        <v>120.92189816666669</v>
      </c>
      <c r="E153" s="22"/>
    </row>
    <row r="154" spans="1:5" x14ac:dyDescent="0.25">
      <c r="A154" s="5" t="s">
        <v>10</v>
      </c>
      <c r="B154" s="57" t="s">
        <v>47</v>
      </c>
      <c r="C154" s="40"/>
      <c r="D154" s="6">
        <f>D120</f>
        <v>24.780427846505791</v>
      </c>
      <c r="E154" s="22"/>
    </row>
    <row r="155" spans="1:5" x14ac:dyDescent="0.25">
      <c r="A155" s="5" t="s">
        <v>12</v>
      </c>
      <c r="B155" s="57" t="s">
        <v>61</v>
      </c>
      <c r="C155" s="40"/>
      <c r="D155" s="6">
        <f>D130</f>
        <v>195.02208233524618</v>
      </c>
      <c r="E155" s="22"/>
    </row>
    <row r="156" spans="1:5" ht="15.75" customHeight="1" x14ac:dyDescent="0.25">
      <c r="A156" s="194" t="s">
        <v>75</v>
      </c>
      <c r="B156" s="195"/>
      <c r="C156" s="196"/>
      <c r="D156" s="10">
        <f>SUM(D151:D155)</f>
        <v>3380.7456283484194</v>
      </c>
      <c r="E156" s="22"/>
    </row>
    <row r="157" spans="1:5" x14ac:dyDescent="0.25">
      <c r="A157" s="23" t="s">
        <v>29</v>
      </c>
      <c r="B157" s="57" t="s">
        <v>76</v>
      </c>
      <c r="C157" s="40"/>
      <c r="D157" s="6">
        <f>D145</f>
        <v>922.02153500411441</v>
      </c>
      <c r="E157" s="22"/>
    </row>
    <row r="158" spans="1:5" ht="15.75" customHeight="1" x14ac:dyDescent="0.25">
      <c r="A158" s="194" t="s">
        <v>77</v>
      </c>
      <c r="B158" s="195"/>
      <c r="C158" s="196"/>
      <c r="D158" s="10">
        <f>D156+D157</f>
        <v>4302.7671633525333</v>
      </c>
      <c r="E158" s="22"/>
    </row>
    <row r="159" spans="1:5" ht="15.75" customHeight="1" x14ac:dyDescent="0.25">
      <c r="A159" s="194" t="s">
        <v>83</v>
      </c>
      <c r="B159" s="195"/>
      <c r="C159" s="196"/>
      <c r="D159" s="10">
        <f>D158*$E$12</f>
        <v>8605.5343267050666</v>
      </c>
      <c r="E159" s="22"/>
    </row>
    <row r="160" spans="1:5" ht="15.75" customHeight="1" x14ac:dyDescent="0.25">
      <c r="A160" s="194" t="s">
        <v>84</v>
      </c>
      <c r="B160" s="195"/>
      <c r="C160" s="196"/>
      <c r="D160" s="10">
        <f>D159*12</f>
        <v>103266.4119204608</v>
      </c>
      <c r="E160" s="22"/>
    </row>
  </sheetData>
  <mergeCells count="54">
    <mergeCell ref="A9:D9"/>
    <mergeCell ref="A1:E1"/>
    <mergeCell ref="C5:D5"/>
    <mergeCell ref="C6:D6"/>
    <mergeCell ref="C7:D7"/>
    <mergeCell ref="C8:D8"/>
    <mergeCell ref="A22:E22"/>
    <mergeCell ref="A10:E10"/>
    <mergeCell ref="A11:B11"/>
    <mergeCell ref="A12:B13"/>
    <mergeCell ref="C12:C13"/>
    <mergeCell ref="C15:E15"/>
    <mergeCell ref="C16:E16"/>
    <mergeCell ref="C17:E17"/>
    <mergeCell ref="C18:E18"/>
    <mergeCell ref="C19:E19"/>
    <mergeCell ref="D12:D13"/>
    <mergeCell ref="E12:E13"/>
    <mergeCell ref="B66:C66"/>
    <mergeCell ref="A32:B32"/>
    <mergeCell ref="A35:E35"/>
    <mergeCell ref="A37:E37"/>
    <mergeCell ref="A43:B43"/>
    <mergeCell ref="A46:E46"/>
    <mergeCell ref="A57:B57"/>
    <mergeCell ref="A60:E60"/>
    <mergeCell ref="B62:C62"/>
    <mergeCell ref="B63:C63"/>
    <mergeCell ref="B64:C64"/>
    <mergeCell ref="B65:C65"/>
    <mergeCell ref="B110:C110"/>
    <mergeCell ref="B67:C67"/>
    <mergeCell ref="B68:C68"/>
    <mergeCell ref="B69:C69"/>
    <mergeCell ref="A70:C70"/>
    <mergeCell ref="A73:E73"/>
    <mergeCell ref="A79:C79"/>
    <mergeCell ref="A82:E82"/>
    <mergeCell ref="A94:E94"/>
    <mergeCell ref="A96:E96"/>
    <mergeCell ref="A105:C105"/>
    <mergeCell ref="A108:E108"/>
    <mergeCell ref="A160:C160"/>
    <mergeCell ref="B111:C111"/>
    <mergeCell ref="A112:C112"/>
    <mergeCell ref="A115:E115"/>
    <mergeCell ref="A120:C120"/>
    <mergeCell ref="A123:E123"/>
    <mergeCell ref="A130:C130"/>
    <mergeCell ref="A133:E133"/>
    <mergeCell ref="A148:E148"/>
    <mergeCell ref="A156:C156"/>
    <mergeCell ref="A158:C158"/>
    <mergeCell ref="A159:C159"/>
  </mergeCells>
  <dataValidations disablePrompts="1" count="1">
    <dataValidation type="list" allowBlank="1" showInputMessage="1" showErrorMessage="1" sqref="G1">
      <formula1>$J$1</formula1>
    </dataValidation>
  </dataValidations>
  <pageMargins left="0.51181102362204722" right="0.51181102362204722" top="0.78740157480314965" bottom="0.78740157480314965" header="0.31496062992125984" footer="0.31496062992125984"/>
  <pageSetup paperSize="9" scale="75" orientation="landscape" verticalDpi="300" r:id="rId1"/>
  <rowBreaks count="5" manualBreakCount="5">
    <brk id="34" max="6" man="1"/>
    <brk id="59" max="6" man="1"/>
    <brk id="91" max="6" man="1"/>
    <brk id="120" max="6" man="1"/>
    <brk id="147" max="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C59" sqref="C59"/>
    </sheetView>
  </sheetViews>
  <sheetFormatPr defaultColWidth="9.140625" defaultRowHeight="15.75" x14ac:dyDescent="0.25"/>
  <cols>
    <col min="1" max="1" width="9.140625" style="1"/>
    <col min="2" max="2" width="51.140625" style="1" customWidth="1"/>
    <col min="3" max="3" width="8.85546875" style="1" bestFit="1" customWidth="1"/>
    <col min="4" max="4" width="14.5703125" style="1" bestFit="1" customWidth="1"/>
    <col min="5" max="5" width="13.42578125" style="1" bestFit="1" customWidth="1"/>
    <col min="6" max="6" width="16.140625" style="1" customWidth="1"/>
    <col min="7" max="7" width="16" style="1" bestFit="1" customWidth="1"/>
    <col min="8" max="8" width="9.140625" style="1"/>
    <col min="9" max="9" width="16.85546875" style="1" bestFit="1" customWidth="1"/>
    <col min="10" max="10" width="13.140625" style="1" bestFit="1" customWidth="1"/>
    <col min="11" max="11" width="24.140625" style="1" customWidth="1"/>
    <col min="12" max="16384" width="9.140625" style="1"/>
  </cols>
  <sheetData>
    <row r="1" spans="1:11" s="27" customFormat="1" ht="47.25" x14ac:dyDescent="0.25">
      <c r="A1" s="62" t="s">
        <v>91</v>
      </c>
      <c r="B1" s="175" t="s">
        <v>92</v>
      </c>
      <c r="C1" s="175" t="s">
        <v>196</v>
      </c>
      <c r="D1" s="175" t="s">
        <v>98</v>
      </c>
      <c r="E1" s="175" t="s">
        <v>97</v>
      </c>
      <c r="F1" s="62" t="s">
        <v>99</v>
      </c>
      <c r="G1" s="62" t="s">
        <v>100</v>
      </c>
      <c r="H1" s="62" t="s">
        <v>101</v>
      </c>
      <c r="I1" s="62" t="s">
        <v>102</v>
      </c>
      <c r="J1" s="62" t="s">
        <v>103</v>
      </c>
      <c r="K1" s="62" t="s">
        <v>156</v>
      </c>
    </row>
    <row r="2" spans="1:11" ht="30" x14ac:dyDescent="0.25">
      <c r="A2" s="173">
        <v>1</v>
      </c>
      <c r="B2" s="176" t="s">
        <v>277</v>
      </c>
      <c r="C2" s="177" t="s">
        <v>196</v>
      </c>
      <c r="D2" s="179">
        <v>2</v>
      </c>
      <c r="E2" s="180">
        <v>4.09</v>
      </c>
      <c r="F2" s="174">
        <f>D2*E2</f>
        <v>8.18</v>
      </c>
      <c r="G2" s="25">
        <v>60</v>
      </c>
      <c r="H2" s="26">
        <f>F2*20%</f>
        <v>1.6360000000000001</v>
      </c>
      <c r="I2" s="26">
        <f>F2-H2</f>
        <v>6.5439999999999996</v>
      </c>
      <c r="J2" s="26">
        <f>I2/G2</f>
        <v>0.10906666666666666</v>
      </c>
      <c r="K2" s="131" t="s">
        <v>158</v>
      </c>
    </row>
    <row r="3" spans="1:11" x14ac:dyDescent="0.25">
      <c r="A3" s="173">
        <v>2</v>
      </c>
      <c r="B3" s="178" t="s">
        <v>278</v>
      </c>
      <c r="C3" s="177" t="s">
        <v>196</v>
      </c>
      <c r="D3" s="179">
        <v>1</v>
      </c>
      <c r="E3" s="180">
        <v>98</v>
      </c>
      <c r="F3" s="174">
        <f t="shared" ref="F3:F25" si="0">D3*E3</f>
        <v>98</v>
      </c>
      <c r="G3" s="25">
        <v>61</v>
      </c>
      <c r="H3" s="26">
        <f t="shared" ref="H3:H25" si="1">F3*20%</f>
        <v>19.600000000000001</v>
      </c>
      <c r="I3" s="26">
        <f t="shared" ref="I3:I25" si="2">F3-H3</f>
        <v>78.400000000000006</v>
      </c>
      <c r="J3" s="26">
        <f t="shared" ref="J3:J25" si="3">I3/G3</f>
        <v>1.2852459016393443</v>
      </c>
      <c r="K3" s="131" t="s">
        <v>158</v>
      </c>
    </row>
    <row r="4" spans="1:11" x14ac:dyDescent="0.25">
      <c r="A4" s="173">
        <v>3</v>
      </c>
      <c r="B4" s="178" t="s">
        <v>279</v>
      </c>
      <c r="C4" s="177" t="s">
        <v>196</v>
      </c>
      <c r="D4" s="179">
        <v>1</v>
      </c>
      <c r="E4" s="180">
        <v>290</v>
      </c>
      <c r="F4" s="174">
        <f t="shared" si="0"/>
        <v>290</v>
      </c>
      <c r="G4" s="25">
        <v>62</v>
      </c>
      <c r="H4" s="26">
        <f t="shared" si="1"/>
        <v>58</v>
      </c>
      <c r="I4" s="26">
        <f t="shared" si="2"/>
        <v>232</v>
      </c>
      <c r="J4" s="26">
        <f t="shared" si="3"/>
        <v>3.7419354838709675</v>
      </c>
      <c r="K4" s="131" t="s">
        <v>158</v>
      </c>
    </row>
    <row r="5" spans="1:11" x14ac:dyDescent="0.25">
      <c r="A5" s="173">
        <v>4</v>
      </c>
      <c r="B5" s="178" t="s">
        <v>280</v>
      </c>
      <c r="C5" s="177" t="s">
        <v>196</v>
      </c>
      <c r="D5" s="179">
        <v>1</v>
      </c>
      <c r="E5" s="180">
        <v>50.49</v>
      </c>
      <c r="F5" s="174">
        <f t="shared" si="0"/>
        <v>50.49</v>
      </c>
      <c r="G5" s="25">
        <v>63</v>
      </c>
      <c r="H5" s="26">
        <f t="shared" si="1"/>
        <v>10.098000000000001</v>
      </c>
      <c r="I5" s="26">
        <f t="shared" si="2"/>
        <v>40.392000000000003</v>
      </c>
      <c r="J5" s="26">
        <f t="shared" si="3"/>
        <v>0.64114285714285724</v>
      </c>
      <c r="K5" s="131" t="s">
        <v>158</v>
      </c>
    </row>
    <row r="6" spans="1:11" x14ac:dyDescent="0.25">
      <c r="A6" s="173">
        <v>5</v>
      </c>
      <c r="B6" s="178" t="s">
        <v>281</v>
      </c>
      <c r="C6" s="177" t="s">
        <v>196</v>
      </c>
      <c r="D6" s="179">
        <v>1</v>
      </c>
      <c r="E6" s="180">
        <v>49.9</v>
      </c>
      <c r="F6" s="174">
        <f t="shared" si="0"/>
        <v>49.9</v>
      </c>
      <c r="G6" s="25">
        <v>64</v>
      </c>
      <c r="H6" s="26">
        <f t="shared" si="1"/>
        <v>9.98</v>
      </c>
      <c r="I6" s="26">
        <f t="shared" si="2"/>
        <v>39.92</v>
      </c>
      <c r="J6" s="26">
        <f t="shared" si="3"/>
        <v>0.62375000000000003</v>
      </c>
      <c r="K6" s="131" t="s">
        <v>158</v>
      </c>
    </row>
    <row r="7" spans="1:11" x14ac:dyDescent="0.25">
      <c r="A7" s="173">
        <v>6</v>
      </c>
      <c r="B7" s="178" t="s">
        <v>282</v>
      </c>
      <c r="C7" s="177" t="s">
        <v>196</v>
      </c>
      <c r="D7" s="179">
        <v>1</v>
      </c>
      <c r="E7" s="180">
        <v>51.5</v>
      </c>
      <c r="F7" s="174">
        <f t="shared" si="0"/>
        <v>51.5</v>
      </c>
      <c r="G7" s="25">
        <v>65</v>
      </c>
      <c r="H7" s="26">
        <f t="shared" si="1"/>
        <v>10.3</v>
      </c>
      <c r="I7" s="26">
        <f t="shared" si="2"/>
        <v>41.2</v>
      </c>
      <c r="J7" s="26">
        <f t="shared" si="3"/>
        <v>0.63384615384615384</v>
      </c>
      <c r="K7" s="131" t="s">
        <v>158</v>
      </c>
    </row>
    <row r="8" spans="1:11" x14ac:dyDescent="0.25">
      <c r="A8" s="173">
        <v>7</v>
      </c>
      <c r="B8" s="178" t="s">
        <v>223</v>
      </c>
      <c r="C8" s="177" t="s">
        <v>196</v>
      </c>
      <c r="D8" s="179">
        <v>1</v>
      </c>
      <c r="E8" s="180">
        <v>523.9</v>
      </c>
      <c r="F8" s="174">
        <f t="shared" si="0"/>
        <v>523.9</v>
      </c>
      <c r="G8" s="25">
        <v>66</v>
      </c>
      <c r="H8" s="26">
        <f t="shared" si="1"/>
        <v>104.78</v>
      </c>
      <c r="I8" s="26">
        <f t="shared" si="2"/>
        <v>419.12</v>
      </c>
      <c r="J8" s="26">
        <f t="shared" si="3"/>
        <v>6.3503030303030306</v>
      </c>
      <c r="K8" s="131" t="s">
        <v>158</v>
      </c>
    </row>
    <row r="9" spans="1:11" x14ac:dyDescent="0.25">
      <c r="A9" s="173">
        <v>8</v>
      </c>
      <c r="B9" s="178" t="s">
        <v>283</v>
      </c>
      <c r="C9" s="177" t="s">
        <v>196</v>
      </c>
      <c r="D9" s="179">
        <v>1</v>
      </c>
      <c r="E9" s="180">
        <v>36.880000000000003</v>
      </c>
      <c r="F9" s="174">
        <f t="shared" si="0"/>
        <v>36.880000000000003</v>
      </c>
      <c r="G9" s="25">
        <v>67</v>
      </c>
      <c r="H9" s="26">
        <f t="shared" si="1"/>
        <v>7.3760000000000012</v>
      </c>
      <c r="I9" s="26">
        <f t="shared" si="2"/>
        <v>29.504000000000001</v>
      </c>
      <c r="J9" s="26">
        <f t="shared" si="3"/>
        <v>0.44035820895522387</v>
      </c>
      <c r="K9" s="131" t="s">
        <v>158</v>
      </c>
    </row>
    <row r="10" spans="1:11" x14ac:dyDescent="0.25">
      <c r="A10" s="173">
        <v>9</v>
      </c>
      <c r="B10" s="178" t="s">
        <v>284</v>
      </c>
      <c r="C10" s="177" t="s">
        <v>196</v>
      </c>
      <c r="D10" s="179">
        <v>1</v>
      </c>
      <c r="E10" s="180">
        <v>50.15</v>
      </c>
      <c r="F10" s="174">
        <f t="shared" si="0"/>
        <v>50.15</v>
      </c>
      <c r="G10" s="25">
        <v>68</v>
      </c>
      <c r="H10" s="26">
        <f t="shared" si="1"/>
        <v>10.030000000000001</v>
      </c>
      <c r="I10" s="26">
        <f t="shared" si="2"/>
        <v>40.119999999999997</v>
      </c>
      <c r="J10" s="26">
        <f t="shared" si="3"/>
        <v>0.59</v>
      </c>
      <c r="K10" s="131" t="s">
        <v>158</v>
      </c>
    </row>
    <row r="11" spans="1:11" x14ac:dyDescent="0.25">
      <c r="A11" s="173">
        <v>10</v>
      </c>
      <c r="B11" s="178" t="s">
        <v>285</v>
      </c>
      <c r="C11" s="177" t="s">
        <v>196</v>
      </c>
      <c r="D11" s="179">
        <v>1</v>
      </c>
      <c r="E11" s="180">
        <v>32.69</v>
      </c>
      <c r="F11" s="174">
        <f t="shared" si="0"/>
        <v>32.69</v>
      </c>
      <c r="G11" s="25">
        <v>69</v>
      </c>
      <c r="H11" s="26">
        <f t="shared" si="1"/>
        <v>6.5380000000000003</v>
      </c>
      <c r="I11" s="26">
        <f t="shared" si="2"/>
        <v>26.151999999999997</v>
      </c>
      <c r="J11" s="26">
        <f t="shared" si="3"/>
        <v>0.37901449275362314</v>
      </c>
      <c r="K11" s="131" t="s">
        <v>158</v>
      </c>
    </row>
    <row r="12" spans="1:11" ht="26.25" x14ac:dyDescent="0.25">
      <c r="A12" s="173">
        <v>11</v>
      </c>
      <c r="B12" s="178" t="s">
        <v>286</v>
      </c>
      <c r="C12" s="177" t="s">
        <v>196</v>
      </c>
      <c r="D12" s="179">
        <v>2</v>
      </c>
      <c r="E12" s="180">
        <v>126.9</v>
      </c>
      <c r="F12" s="174">
        <f t="shared" si="0"/>
        <v>253.8</v>
      </c>
      <c r="G12" s="25">
        <v>70</v>
      </c>
      <c r="H12" s="26">
        <f t="shared" si="1"/>
        <v>50.760000000000005</v>
      </c>
      <c r="I12" s="26">
        <f t="shared" si="2"/>
        <v>203.04000000000002</v>
      </c>
      <c r="J12" s="26">
        <f t="shared" si="3"/>
        <v>2.9005714285714288</v>
      </c>
      <c r="K12" s="131" t="s">
        <v>158</v>
      </c>
    </row>
    <row r="13" spans="1:11" ht="26.25" x14ac:dyDescent="0.25">
      <c r="A13" s="173">
        <v>12</v>
      </c>
      <c r="B13" s="178" t="s">
        <v>287</v>
      </c>
      <c r="C13" s="177" t="s">
        <v>196</v>
      </c>
      <c r="D13" s="179">
        <v>2</v>
      </c>
      <c r="E13" s="180">
        <v>126.9</v>
      </c>
      <c r="F13" s="174">
        <f t="shared" si="0"/>
        <v>253.8</v>
      </c>
      <c r="G13" s="25">
        <v>71</v>
      </c>
      <c r="H13" s="26">
        <f t="shared" si="1"/>
        <v>50.760000000000005</v>
      </c>
      <c r="I13" s="26">
        <f t="shared" si="2"/>
        <v>203.04000000000002</v>
      </c>
      <c r="J13" s="26">
        <f t="shared" si="3"/>
        <v>2.8597183098591552</v>
      </c>
      <c r="K13" s="131" t="s">
        <v>158</v>
      </c>
    </row>
    <row r="14" spans="1:11" x14ac:dyDescent="0.25">
      <c r="A14" s="173">
        <v>13</v>
      </c>
      <c r="B14" s="178" t="s">
        <v>288</v>
      </c>
      <c r="C14" s="177" t="s">
        <v>196</v>
      </c>
      <c r="D14" s="179">
        <v>2</v>
      </c>
      <c r="E14" s="180">
        <v>74.37</v>
      </c>
      <c r="F14" s="174">
        <f t="shared" si="0"/>
        <v>148.74</v>
      </c>
      <c r="G14" s="25">
        <v>72</v>
      </c>
      <c r="H14" s="26">
        <f t="shared" si="1"/>
        <v>29.748000000000005</v>
      </c>
      <c r="I14" s="26">
        <f t="shared" si="2"/>
        <v>118.992</v>
      </c>
      <c r="J14" s="26">
        <f t="shared" si="3"/>
        <v>1.6526666666666667</v>
      </c>
      <c r="K14" s="131" t="s">
        <v>158</v>
      </c>
    </row>
    <row r="15" spans="1:11" ht="26.25" x14ac:dyDescent="0.25">
      <c r="A15" s="173">
        <v>14</v>
      </c>
      <c r="B15" s="178" t="s">
        <v>289</v>
      </c>
      <c r="C15" s="177" t="s">
        <v>196</v>
      </c>
      <c r="D15" s="179">
        <v>1</v>
      </c>
      <c r="E15" s="180">
        <v>1049</v>
      </c>
      <c r="F15" s="174">
        <f t="shared" si="0"/>
        <v>1049</v>
      </c>
      <c r="G15" s="25">
        <v>73</v>
      </c>
      <c r="H15" s="26">
        <f t="shared" si="1"/>
        <v>209.8</v>
      </c>
      <c r="I15" s="26">
        <f t="shared" si="2"/>
        <v>839.2</v>
      </c>
      <c r="J15" s="26">
        <f t="shared" si="3"/>
        <v>11.495890410958905</v>
      </c>
      <c r="K15" s="131" t="s">
        <v>158</v>
      </c>
    </row>
    <row r="16" spans="1:11" ht="26.25" x14ac:dyDescent="0.25">
      <c r="A16" s="173">
        <v>15</v>
      </c>
      <c r="B16" s="178" t="s">
        <v>290</v>
      </c>
      <c r="C16" s="177" t="s">
        <v>196</v>
      </c>
      <c r="D16" s="179">
        <v>1</v>
      </c>
      <c r="E16" s="180">
        <v>1024.96</v>
      </c>
      <c r="F16" s="174">
        <f t="shared" si="0"/>
        <v>1024.96</v>
      </c>
      <c r="G16" s="25">
        <v>74</v>
      </c>
      <c r="H16" s="26">
        <f t="shared" si="1"/>
        <v>204.99200000000002</v>
      </c>
      <c r="I16" s="26">
        <f t="shared" si="2"/>
        <v>819.96800000000007</v>
      </c>
      <c r="J16" s="26">
        <f t="shared" si="3"/>
        <v>11.08064864864865</v>
      </c>
      <c r="K16" s="131" t="s">
        <v>158</v>
      </c>
    </row>
    <row r="17" spans="1:11" x14ac:dyDescent="0.25">
      <c r="A17" s="173">
        <v>16</v>
      </c>
      <c r="B17" s="178" t="s">
        <v>291</v>
      </c>
      <c r="C17" s="177" t="s">
        <v>196</v>
      </c>
      <c r="D17" s="179">
        <v>1</v>
      </c>
      <c r="E17" s="180">
        <v>186.9</v>
      </c>
      <c r="F17" s="174">
        <f t="shared" si="0"/>
        <v>186.9</v>
      </c>
      <c r="G17" s="25">
        <v>75</v>
      </c>
      <c r="H17" s="26">
        <f t="shared" si="1"/>
        <v>37.380000000000003</v>
      </c>
      <c r="I17" s="26">
        <f t="shared" si="2"/>
        <v>149.52000000000001</v>
      </c>
      <c r="J17" s="26">
        <f t="shared" si="3"/>
        <v>1.9936</v>
      </c>
      <c r="K17" s="131" t="s">
        <v>158</v>
      </c>
    </row>
    <row r="18" spans="1:11" x14ac:dyDescent="0.25">
      <c r="A18" s="173">
        <v>17</v>
      </c>
      <c r="B18" s="178" t="s">
        <v>292</v>
      </c>
      <c r="C18" s="177" t="s">
        <v>196</v>
      </c>
      <c r="D18" s="179">
        <v>2</v>
      </c>
      <c r="E18" s="180">
        <v>26.12</v>
      </c>
      <c r="F18" s="174">
        <f t="shared" si="0"/>
        <v>52.24</v>
      </c>
      <c r="G18" s="25">
        <v>76</v>
      </c>
      <c r="H18" s="26">
        <f t="shared" si="1"/>
        <v>10.448</v>
      </c>
      <c r="I18" s="26">
        <f t="shared" si="2"/>
        <v>41.792000000000002</v>
      </c>
      <c r="J18" s="26">
        <f t="shared" si="3"/>
        <v>0.54989473684210533</v>
      </c>
      <c r="K18" s="131" t="s">
        <v>158</v>
      </c>
    </row>
    <row r="19" spans="1:11" x14ac:dyDescent="0.25">
      <c r="A19" s="173">
        <v>18</v>
      </c>
      <c r="B19" s="178" t="s">
        <v>293</v>
      </c>
      <c r="C19" s="177" t="s">
        <v>196</v>
      </c>
      <c r="D19" s="179">
        <v>5</v>
      </c>
      <c r="E19" s="180">
        <v>40.270000000000003</v>
      </c>
      <c r="F19" s="174">
        <f t="shared" si="0"/>
        <v>201.35000000000002</v>
      </c>
      <c r="G19" s="25">
        <v>77</v>
      </c>
      <c r="H19" s="26">
        <f t="shared" si="1"/>
        <v>40.27000000000001</v>
      </c>
      <c r="I19" s="26">
        <f t="shared" si="2"/>
        <v>161.08000000000001</v>
      </c>
      <c r="J19" s="26">
        <f t="shared" si="3"/>
        <v>2.091948051948052</v>
      </c>
      <c r="K19" s="131" t="s">
        <v>158</v>
      </c>
    </row>
    <row r="20" spans="1:11" x14ac:dyDescent="0.25">
      <c r="A20" s="173">
        <v>19</v>
      </c>
      <c r="B20" s="178" t="s">
        <v>294</v>
      </c>
      <c r="C20" s="177" t="s">
        <v>196</v>
      </c>
      <c r="D20" s="179">
        <v>2</v>
      </c>
      <c r="E20" s="180">
        <v>2.29</v>
      </c>
      <c r="F20" s="174">
        <f t="shared" si="0"/>
        <v>4.58</v>
      </c>
      <c r="G20" s="25">
        <v>78</v>
      </c>
      <c r="H20" s="26">
        <f t="shared" si="1"/>
        <v>0.91600000000000004</v>
      </c>
      <c r="I20" s="26">
        <f t="shared" si="2"/>
        <v>3.6640000000000001</v>
      </c>
      <c r="J20" s="26">
        <f t="shared" si="3"/>
        <v>4.6974358974358976E-2</v>
      </c>
      <c r="K20" s="131" t="s">
        <v>158</v>
      </c>
    </row>
    <row r="21" spans="1:11" ht="39" x14ac:dyDescent="0.25">
      <c r="A21" s="173">
        <v>20</v>
      </c>
      <c r="B21" s="178" t="s">
        <v>295</v>
      </c>
      <c r="C21" s="177" t="s">
        <v>196</v>
      </c>
      <c r="D21" s="179">
        <v>1</v>
      </c>
      <c r="E21" s="180">
        <v>1197.78</v>
      </c>
      <c r="F21" s="174">
        <f t="shared" si="0"/>
        <v>1197.78</v>
      </c>
      <c r="G21" s="25">
        <v>79</v>
      </c>
      <c r="H21" s="26">
        <f t="shared" si="1"/>
        <v>239.55600000000001</v>
      </c>
      <c r="I21" s="26">
        <f t="shared" si="2"/>
        <v>958.22399999999993</v>
      </c>
      <c r="J21" s="26">
        <f t="shared" si="3"/>
        <v>12.129417721518987</v>
      </c>
      <c r="K21" s="131" t="s">
        <v>158</v>
      </c>
    </row>
    <row r="22" spans="1:11" x14ac:dyDescent="0.25">
      <c r="A22" s="173">
        <v>21</v>
      </c>
      <c r="B22" s="178" t="s">
        <v>296</v>
      </c>
      <c r="C22" s="177" t="s">
        <v>196</v>
      </c>
      <c r="D22" s="179">
        <v>1</v>
      </c>
      <c r="E22" s="180">
        <v>35.11</v>
      </c>
      <c r="F22" s="174">
        <f t="shared" si="0"/>
        <v>35.11</v>
      </c>
      <c r="G22" s="25">
        <v>80</v>
      </c>
      <c r="H22" s="26">
        <f t="shared" si="1"/>
        <v>7.0220000000000002</v>
      </c>
      <c r="I22" s="26">
        <f t="shared" si="2"/>
        <v>28.088000000000001</v>
      </c>
      <c r="J22" s="26">
        <f t="shared" si="3"/>
        <v>0.35110000000000002</v>
      </c>
      <c r="K22" s="131" t="s">
        <v>158</v>
      </c>
    </row>
    <row r="23" spans="1:11" ht="26.25" x14ac:dyDescent="0.25">
      <c r="A23" s="173">
        <v>22</v>
      </c>
      <c r="B23" s="178" t="s">
        <v>297</v>
      </c>
      <c r="C23" s="177" t="s">
        <v>196</v>
      </c>
      <c r="D23" s="179">
        <v>1</v>
      </c>
      <c r="E23" s="180">
        <v>462.17</v>
      </c>
      <c r="F23" s="174">
        <f t="shared" si="0"/>
        <v>462.17</v>
      </c>
      <c r="G23" s="25">
        <v>81</v>
      </c>
      <c r="H23" s="26">
        <f t="shared" si="1"/>
        <v>92.434000000000012</v>
      </c>
      <c r="I23" s="26">
        <f t="shared" si="2"/>
        <v>369.73599999999999</v>
      </c>
      <c r="J23" s="26">
        <f t="shared" si="3"/>
        <v>4.5646419753086418</v>
      </c>
      <c r="K23" s="131" t="s">
        <v>158</v>
      </c>
    </row>
    <row r="24" spans="1:11" ht="26.25" x14ac:dyDescent="0.25">
      <c r="A24" s="173">
        <v>23</v>
      </c>
      <c r="B24" s="178" t="s">
        <v>298</v>
      </c>
      <c r="C24" s="177" t="s">
        <v>196</v>
      </c>
      <c r="D24" s="179">
        <v>1</v>
      </c>
      <c r="E24" s="180">
        <v>35.31</v>
      </c>
      <c r="F24" s="174">
        <f t="shared" si="0"/>
        <v>35.31</v>
      </c>
      <c r="G24" s="25">
        <v>82</v>
      </c>
      <c r="H24" s="26">
        <f t="shared" si="1"/>
        <v>7.0620000000000012</v>
      </c>
      <c r="I24" s="26">
        <f t="shared" si="2"/>
        <v>28.248000000000001</v>
      </c>
      <c r="J24" s="26">
        <f t="shared" si="3"/>
        <v>0.34448780487804881</v>
      </c>
      <c r="K24" s="131" t="s">
        <v>158</v>
      </c>
    </row>
    <row r="25" spans="1:11" x14ac:dyDescent="0.25">
      <c r="A25" s="173">
        <v>24</v>
      </c>
      <c r="B25" s="178" t="s">
        <v>299</v>
      </c>
      <c r="C25" s="177" t="s">
        <v>196</v>
      </c>
      <c r="D25" s="179">
        <v>6</v>
      </c>
      <c r="E25" s="180">
        <v>23.69</v>
      </c>
      <c r="F25" s="174">
        <f t="shared" si="0"/>
        <v>142.14000000000001</v>
      </c>
      <c r="G25" s="25">
        <v>83</v>
      </c>
      <c r="H25" s="26">
        <f t="shared" si="1"/>
        <v>28.428000000000004</v>
      </c>
      <c r="I25" s="26">
        <f t="shared" si="2"/>
        <v>113.71200000000002</v>
      </c>
      <c r="J25" s="26">
        <f t="shared" si="3"/>
        <v>1.3700240963855423</v>
      </c>
      <c r="K25" s="131" t="s">
        <v>158</v>
      </c>
    </row>
    <row r="26" spans="1:11" ht="30" x14ac:dyDescent="0.25">
      <c r="A26" s="173">
        <v>25</v>
      </c>
      <c r="B26" s="176" t="s">
        <v>277</v>
      </c>
      <c r="C26" s="177" t="s">
        <v>196</v>
      </c>
      <c r="D26" s="179">
        <v>2</v>
      </c>
      <c r="E26" s="180">
        <v>4.09</v>
      </c>
      <c r="F26" s="174">
        <f>D26*E26</f>
        <v>8.18</v>
      </c>
      <c r="G26" s="25">
        <v>60</v>
      </c>
      <c r="H26" s="26">
        <f>F26*20%</f>
        <v>1.6360000000000001</v>
      </c>
      <c r="I26" s="26">
        <f>F26-H26</f>
        <v>6.5439999999999996</v>
      </c>
      <c r="J26" s="26">
        <f>I26/G26</f>
        <v>0.10906666666666666</v>
      </c>
      <c r="K26" s="131" t="s">
        <v>159</v>
      </c>
    </row>
    <row r="27" spans="1:11" x14ac:dyDescent="0.25">
      <c r="A27" s="173">
        <v>26</v>
      </c>
      <c r="B27" s="178" t="s">
        <v>278</v>
      </c>
      <c r="C27" s="177" t="s">
        <v>196</v>
      </c>
      <c r="D27" s="179">
        <v>1</v>
      </c>
      <c r="E27" s="180">
        <v>98</v>
      </c>
      <c r="F27" s="174">
        <f t="shared" ref="F27:F49" si="4">D27*E27</f>
        <v>98</v>
      </c>
      <c r="G27" s="25">
        <v>61</v>
      </c>
      <c r="H27" s="26">
        <f t="shared" ref="H27:H49" si="5">F27*20%</f>
        <v>19.600000000000001</v>
      </c>
      <c r="I27" s="26">
        <f t="shared" ref="I27:I49" si="6">F27-H27</f>
        <v>78.400000000000006</v>
      </c>
      <c r="J27" s="26">
        <f t="shared" ref="J27:J49" si="7">I27/G27</f>
        <v>1.2852459016393443</v>
      </c>
      <c r="K27" s="131" t="s">
        <v>159</v>
      </c>
    </row>
    <row r="28" spans="1:11" x14ac:dyDescent="0.25">
      <c r="A28" s="173">
        <v>27</v>
      </c>
      <c r="B28" s="178" t="s">
        <v>279</v>
      </c>
      <c r="C28" s="177" t="s">
        <v>196</v>
      </c>
      <c r="D28" s="179">
        <v>1</v>
      </c>
      <c r="E28" s="180">
        <v>290</v>
      </c>
      <c r="F28" s="174">
        <f t="shared" si="4"/>
        <v>290</v>
      </c>
      <c r="G28" s="25">
        <v>62</v>
      </c>
      <c r="H28" s="26">
        <f t="shared" si="5"/>
        <v>58</v>
      </c>
      <c r="I28" s="26">
        <f t="shared" si="6"/>
        <v>232</v>
      </c>
      <c r="J28" s="26">
        <f t="shared" si="7"/>
        <v>3.7419354838709675</v>
      </c>
      <c r="K28" s="131" t="s">
        <v>159</v>
      </c>
    </row>
    <row r="29" spans="1:11" x14ac:dyDescent="0.25">
      <c r="A29" s="173">
        <v>28</v>
      </c>
      <c r="B29" s="178" t="s">
        <v>280</v>
      </c>
      <c r="C29" s="177" t="s">
        <v>196</v>
      </c>
      <c r="D29" s="179">
        <v>1</v>
      </c>
      <c r="E29" s="180">
        <v>50.49</v>
      </c>
      <c r="F29" s="174">
        <f t="shared" si="4"/>
        <v>50.49</v>
      </c>
      <c r="G29" s="25">
        <v>63</v>
      </c>
      <c r="H29" s="26">
        <f t="shared" si="5"/>
        <v>10.098000000000001</v>
      </c>
      <c r="I29" s="26">
        <f t="shared" si="6"/>
        <v>40.392000000000003</v>
      </c>
      <c r="J29" s="26">
        <f t="shared" si="7"/>
        <v>0.64114285714285724</v>
      </c>
      <c r="K29" s="131" t="s">
        <v>159</v>
      </c>
    </row>
    <row r="30" spans="1:11" x14ac:dyDescent="0.25">
      <c r="A30" s="173">
        <v>29</v>
      </c>
      <c r="B30" s="178" t="s">
        <v>281</v>
      </c>
      <c r="C30" s="177" t="s">
        <v>196</v>
      </c>
      <c r="D30" s="179">
        <v>1</v>
      </c>
      <c r="E30" s="180">
        <v>49.9</v>
      </c>
      <c r="F30" s="174">
        <f t="shared" si="4"/>
        <v>49.9</v>
      </c>
      <c r="G30" s="25">
        <v>64</v>
      </c>
      <c r="H30" s="26">
        <f t="shared" si="5"/>
        <v>9.98</v>
      </c>
      <c r="I30" s="26">
        <f t="shared" si="6"/>
        <v>39.92</v>
      </c>
      <c r="J30" s="26">
        <f t="shared" si="7"/>
        <v>0.62375000000000003</v>
      </c>
      <c r="K30" s="131" t="s">
        <v>159</v>
      </c>
    </row>
    <row r="31" spans="1:11" x14ac:dyDescent="0.25">
      <c r="A31" s="173">
        <v>30</v>
      </c>
      <c r="B31" s="178" t="s">
        <v>282</v>
      </c>
      <c r="C31" s="177" t="s">
        <v>196</v>
      </c>
      <c r="D31" s="179">
        <v>1</v>
      </c>
      <c r="E31" s="180">
        <v>51.5</v>
      </c>
      <c r="F31" s="174">
        <f t="shared" si="4"/>
        <v>51.5</v>
      </c>
      <c r="G31" s="25">
        <v>65</v>
      </c>
      <c r="H31" s="26">
        <f t="shared" si="5"/>
        <v>10.3</v>
      </c>
      <c r="I31" s="26">
        <f t="shared" si="6"/>
        <v>41.2</v>
      </c>
      <c r="J31" s="26">
        <f t="shared" si="7"/>
        <v>0.63384615384615384</v>
      </c>
      <c r="K31" s="131" t="s">
        <v>159</v>
      </c>
    </row>
    <row r="32" spans="1:11" x14ac:dyDescent="0.25">
      <c r="A32" s="173">
        <v>31</v>
      </c>
      <c r="B32" s="178" t="s">
        <v>223</v>
      </c>
      <c r="C32" s="177" t="s">
        <v>196</v>
      </c>
      <c r="D32" s="179">
        <v>1</v>
      </c>
      <c r="E32" s="180">
        <v>523.9</v>
      </c>
      <c r="F32" s="174">
        <f t="shared" si="4"/>
        <v>523.9</v>
      </c>
      <c r="G32" s="25">
        <v>66</v>
      </c>
      <c r="H32" s="26">
        <f t="shared" si="5"/>
        <v>104.78</v>
      </c>
      <c r="I32" s="26">
        <f t="shared" si="6"/>
        <v>419.12</v>
      </c>
      <c r="J32" s="26">
        <f t="shared" si="7"/>
        <v>6.3503030303030306</v>
      </c>
      <c r="K32" s="131" t="s">
        <v>159</v>
      </c>
    </row>
    <row r="33" spans="1:11" x14ac:dyDescent="0.25">
      <c r="A33" s="173">
        <v>32</v>
      </c>
      <c r="B33" s="178" t="s">
        <v>283</v>
      </c>
      <c r="C33" s="177" t="s">
        <v>196</v>
      </c>
      <c r="D33" s="179">
        <v>1</v>
      </c>
      <c r="E33" s="180">
        <v>36.880000000000003</v>
      </c>
      <c r="F33" s="174">
        <f t="shared" si="4"/>
        <v>36.880000000000003</v>
      </c>
      <c r="G33" s="25">
        <v>67</v>
      </c>
      <c r="H33" s="26">
        <f t="shared" si="5"/>
        <v>7.3760000000000012</v>
      </c>
      <c r="I33" s="26">
        <f t="shared" si="6"/>
        <v>29.504000000000001</v>
      </c>
      <c r="J33" s="26">
        <f t="shared" si="7"/>
        <v>0.44035820895522387</v>
      </c>
      <c r="K33" s="131" t="s">
        <v>159</v>
      </c>
    </row>
    <row r="34" spans="1:11" x14ac:dyDescent="0.25">
      <c r="A34" s="173">
        <v>33</v>
      </c>
      <c r="B34" s="178" t="s">
        <v>284</v>
      </c>
      <c r="C34" s="177" t="s">
        <v>196</v>
      </c>
      <c r="D34" s="179">
        <v>1</v>
      </c>
      <c r="E34" s="180">
        <v>50.15</v>
      </c>
      <c r="F34" s="174">
        <f t="shared" si="4"/>
        <v>50.15</v>
      </c>
      <c r="G34" s="25">
        <v>68</v>
      </c>
      <c r="H34" s="26">
        <f t="shared" si="5"/>
        <v>10.030000000000001</v>
      </c>
      <c r="I34" s="26">
        <f t="shared" si="6"/>
        <v>40.119999999999997</v>
      </c>
      <c r="J34" s="26">
        <f t="shared" si="7"/>
        <v>0.59</v>
      </c>
      <c r="K34" s="131" t="s">
        <v>159</v>
      </c>
    </row>
    <row r="35" spans="1:11" x14ac:dyDescent="0.25">
      <c r="A35" s="173">
        <v>34</v>
      </c>
      <c r="B35" s="178" t="s">
        <v>285</v>
      </c>
      <c r="C35" s="177" t="s">
        <v>196</v>
      </c>
      <c r="D35" s="179">
        <v>1</v>
      </c>
      <c r="E35" s="180">
        <v>32.69</v>
      </c>
      <c r="F35" s="174">
        <f t="shared" si="4"/>
        <v>32.69</v>
      </c>
      <c r="G35" s="25">
        <v>69</v>
      </c>
      <c r="H35" s="26">
        <f t="shared" si="5"/>
        <v>6.5380000000000003</v>
      </c>
      <c r="I35" s="26">
        <f t="shared" si="6"/>
        <v>26.151999999999997</v>
      </c>
      <c r="J35" s="26">
        <f t="shared" si="7"/>
        <v>0.37901449275362314</v>
      </c>
      <c r="K35" s="131" t="s">
        <v>159</v>
      </c>
    </row>
    <row r="36" spans="1:11" ht="26.25" x14ac:dyDescent="0.25">
      <c r="A36" s="173">
        <v>35</v>
      </c>
      <c r="B36" s="178" t="s">
        <v>286</v>
      </c>
      <c r="C36" s="177" t="s">
        <v>196</v>
      </c>
      <c r="D36" s="179">
        <v>2</v>
      </c>
      <c r="E36" s="180">
        <v>126.9</v>
      </c>
      <c r="F36" s="174">
        <f t="shared" si="4"/>
        <v>253.8</v>
      </c>
      <c r="G36" s="25">
        <v>70</v>
      </c>
      <c r="H36" s="26">
        <f t="shared" si="5"/>
        <v>50.760000000000005</v>
      </c>
      <c r="I36" s="26">
        <f t="shared" si="6"/>
        <v>203.04000000000002</v>
      </c>
      <c r="J36" s="26">
        <f t="shared" si="7"/>
        <v>2.9005714285714288</v>
      </c>
      <c r="K36" s="131" t="s">
        <v>159</v>
      </c>
    </row>
    <row r="37" spans="1:11" ht="26.25" x14ac:dyDescent="0.25">
      <c r="A37" s="173">
        <v>36</v>
      </c>
      <c r="B37" s="178" t="s">
        <v>287</v>
      </c>
      <c r="C37" s="177" t="s">
        <v>196</v>
      </c>
      <c r="D37" s="179">
        <v>2</v>
      </c>
      <c r="E37" s="180">
        <v>126.9</v>
      </c>
      <c r="F37" s="174">
        <f t="shared" si="4"/>
        <v>253.8</v>
      </c>
      <c r="G37" s="25">
        <v>71</v>
      </c>
      <c r="H37" s="26">
        <f t="shared" si="5"/>
        <v>50.760000000000005</v>
      </c>
      <c r="I37" s="26">
        <f t="shared" si="6"/>
        <v>203.04000000000002</v>
      </c>
      <c r="J37" s="26">
        <f t="shared" si="7"/>
        <v>2.8597183098591552</v>
      </c>
      <c r="K37" s="131" t="s">
        <v>159</v>
      </c>
    </row>
    <row r="38" spans="1:11" x14ac:dyDescent="0.25">
      <c r="A38" s="173">
        <v>37</v>
      </c>
      <c r="B38" s="178" t="s">
        <v>288</v>
      </c>
      <c r="C38" s="177" t="s">
        <v>196</v>
      </c>
      <c r="D38" s="179">
        <v>2</v>
      </c>
      <c r="E38" s="180">
        <v>74.37</v>
      </c>
      <c r="F38" s="174">
        <f t="shared" si="4"/>
        <v>148.74</v>
      </c>
      <c r="G38" s="25">
        <v>72</v>
      </c>
      <c r="H38" s="26">
        <f t="shared" si="5"/>
        <v>29.748000000000005</v>
      </c>
      <c r="I38" s="26">
        <f t="shared" si="6"/>
        <v>118.992</v>
      </c>
      <c r="J38" s="26">
        <f t="shared" si="7"/>
        <v>1.6526666666666667</v>
      </c>
      <c r="K38" s="131" t="s">
        <v>159</v>
      </c>
    </row>
    <row r="39" spans="1:11" ht="26.25" x14ac:dyDescent="0.25">
      <c r="A39" s="173">
        <v>38</v>
      </c>
      <c r="B39" s="178" t="s">
        <v>289</v>
      </c>
      <c r="C39" s="177" t="s">
        <v>196</v>
      </c>
      <c r="D39" s="179">
        <v>1</v>
      </c>
      <c r="E39" s="180">
        <v>1049</v>
      </c>
      <c r="F39" s="174">
        <f t="shared" si="4"/>
        <v>1049</v>
      </c>
      <c r="G39" s="25">
        <v>73</v>
      </c>
      <c r="H39" s="26">
        <f t="shared" si="5"/>
        <v>209.8</v>
      </c>
      <c r="I39" s="26">
        <f t="shared" si="6"/>
        <v>839.2</v>
      </c>
      <c r="J39" s="26">
        <f t="shared" si="7"/>
        <v>11.495890410958905</v>
      </c>
      <c r="K39" s="131" t="s">
        <v>159</v>
      </c>
    </row>
    <row r="40" spans="1:11" ht="26.25" x14ac:dyDescent="0.25">
      <c r="A40" s="173">
        <v>39</v>
      </c>
      <c r="B40" s="178" t="s">
        <v>290</v>
      </c>
      <c r="C40" s="177" t="s">
        <v>196</v>
      </c>
      <c r="D40" s="179">
        <v>1</v>
      </c>
      <c r="E40" s="180">
        <v>1024.96</v>
      </c>
      <c r="F40" s="174">
        <f t="shared" si="4"/>
        <v>1024.96</v>
      </c>
      <c r="G40" s="25">
        <v>74</v>
      </c>
      <c r="H40" s="26">
        <f t="shared" si="5"/>
        <v>204.99200000000002</v>
      </c>
      <c r="I40" s="26">
        <f t="shared" si="6"/>
        <v>819.96800000000007</v>
      </c>
      <c r="J40" s="26">
        <f t="shared" si="7"/>
        <v>11.08064864864865</v>
      </c>
      <c r="K40" s="131" t="s">
        <v>159</v>
      </c>
    </row>
    <row r="41" spans="1:11" x14ac:dyDescent="0.25">
      <c r="A41" s="173">
        <v>40</v>
      </c>
      <c r="B41" s="178" t="s">
        <v>291</v>
      </c>
      <c r="C41" s="177" t="s">
        <v>196</v>
      </c>
      <c r="D41" s="179">
        <v>1</v>
      </c>
      <c r="E41" s="180">
        <v>186.9</v>
      </c>
      <c r="F41" s="174">
        <f t="shared" si="4"/>
        <v>186.9</v>
      </c>
      <c r="G41" s="25">
        <v>75</v>
      </c>
      <c r="H41" s="26">
        <f t="shared" si="5"/>
        <v>37.380000000000003</v>
      </c>
      <c r="I41" s="26">
        <f t="shared" si="6"/>
        <v>149.52000000000001</v>
      </c>
      <c r="J41" s="26">
        <f t="shared" si="7"/>
        <v>1.9936</v>
      </c>
      <c r="K41" s="131" t="s">
        <v>159</v>
      </c>
    </row>
    <row r="42" spans="1:11" x14ac:dyDescent="0.25">
      <c r="A42" s="173">
        <v>41</v>
      </c>
      <c r="B42" s="178" t="s">
        <v>292</v>
      </c>
      <c r="C42" s="177" t="s">
        <v>196</v>
      </c>
      <c r="D42" s="179">
        <v>2</v>
      </c>
      <c r="E42" s="180">
        <v>26.12</v>
      </c>
      <c r="F42" s="174">
        <f t="shared" si="4"/>
        <v>52.24</v>
      </c>
      <c r="G42" s="25">
        <v>76</v>
      </c>
      <c r="H42" s="26">
        <f t="shared" si="5"/>
        <v>10.448</v>
      </c>
      <c r="I42" s="26">
        <f t="shared" si="6"/>
        <v>41.792000000000002</v>
      </c>
      <c r="J42" s="26">
        <f t="shared" si="7"/>
        <v>0.54989473684210533</v>
      </c>
      <c r="K42" s="131" t="s">
        <v>159</v>
      </c>
    </row>
    <row r="43" spans="1:11" x14ac:dyDescent="0.25">
      <c r="A43" s="173">
        <v>42</v>
      </c>
      <c r="B43" s="178" t="s">
        <v>293</v>
      </c>
      <c r="C43" s="177" t="s">
        <v>196</v>
      </c>
      <c r="D43" s="179">
        <v>5</v>
      </c>
      <c r="E43" s="180">
        <v>40.270000000000003</v>
      </c>
      <c r="F43" s="174">
        <f t="shared" si="4"/>
        <v>201.35000000000002</v>
      </c>
      <c r="G43" s="25">
        <v>77</v>
      </c>
      <c r="H43" s="26">
        <f t="shared" si="5"/>
        <v>40.27000000000001</v>
      </c>
      <c r="I43" s="26">
        <f t="shared" si="6"/>
        <v>161.08000000000001</v>
      </c>
      <c r="J43" s="26">
        <f t="shared" si="7"/>
        <v>2.091948051948052</v>
      </c>
      <c r="K43" s="131" t="s">
        <v>159</v>
      </c>
    </row>
    <row r="44" spans="1:11" x14ac:dyDescent="0.25">
      <c r="A44" s="173">
        <v>43</v>
      </c>
      <c r="B44" s="178" t="s">
        <v>294</v>
      </c>
      <c r="C44" s="177" t="s">
        <v>196</v>
      </c>
      <c r="D44" s="179">
        <v>2</v>
      </c>
      <c r="E44" s="180">
        <v>2.29</v>
      </c>
      <c r="F44" s="174">
        <f t="shared" si="4"/>
        <v>4.58</v>
      </c>
      <c r="G44" s="25">
        <v>78</v>
      </c>
      <c r="H44" s="26">
        <f t="shared" si="5"/>
        <v>0.91600000000000004</v>
      </c>
      <c r="I44" s="26">
        <f t="shared" si="6"/>
        <v>3.6640000000000001</v>
      </c>
      <c r="J44" s="26">
        <f t="shared" si="7"/>
        <v>4.6974358974358976E-2</v>
      </c>
      <c r="K44" s="131" t="s">
        <v>159</v>
      </c>
    </row>
    <row r="45" spans="1:11" ht="39" x14ac:dyDescent="0.25">
      <c r="A45" s="173">
        <v>44</v>
      </c>
      <c r="B45" s="178" t="s">
        <v>295</v>
      </c>
      <c r="C45" s="177" t="s">
        <v>196</v>
      </c>
      <c r="D45" s="179">
        <v>1</v>
      </c>
      <c r="E45" s="180">
        <v>1197.78</v>
      </c>
      <c r="F45" s="174">
        <f t="shared" si="4"/>
        <v>1197.78</v>
      </c>
      <c r="G45" s="25">
        <v>79</v>
      </c>
      <c r="H45" s="26">
        <f t="shared" si="5"/>
        <v>239.55600000000001</v>
      </c>
      <c r="I45" s="26">
        <f t="shared" si="6"/>
        <v>958.22399999999993</v>
      </c>
      <c r="J45" s="26">
        <f t="shared" si="7"/>
        <v>12.129417721518987</v>
      </c>
      <c r="K45" s="131" t="s">
        <v>159</v>
      </c>
    </row>
    <row r="46" spans="1:11" x14ac:dyDescent="0.25">
      <c r="A46" s="173">
        <v>45</v>
      </c>
      <c r="B46" s="178" t="s">
        <v>296</v>
      </c>
      <c r="C46" s="177" t="s">
        <v>196</v>
      </c>
      <c r="D46" s="179">
        <v>1</v>
      </c>
      <c r="E46" s="180">
        <v>35.11</v>
      </c>
      <c r="F46" s="174">
        <f t="shared" si="4"/>
        <v>35.11</v>
      </c>
      <c r="G46" s="25">
        <v>80</v>
      </c>
      <c r="H46" s="26">
        <f t="shared" si="5"/>
        <v>7.0220000000000002</v>
      </c>
      <c r="I46" s="26">
        <f t="shared" si="6"/>
        <v>28.088000000000001</v>
      </c>
      <c r="J46" s="26">
        <f t="shared" si="7"/>
        <v>0.35110000000000002</v>
      </c>
      <c r="K46" s="131" t="s">
        <v>159</v>
      </c>
    </row>
    <row r="47" spans="1:11" ht="26.25" x14ac:dyDescent="0.25">
      <c r="A47" s="173">
        <v>46</v>
      </c>
      <c r="B47" s="178" t="s">
        <v>297</v>
      </c>
      <c r="C47" s="177" t="s">
        <v>196</v>
      </c>
      <c r="D47" s="179">
        <v>1</v>
      </c>
      <c r="E47" s="180">
        <v>462.17</v>
      </c>
      <c r="F47" s="174">
        <f t="shared" si="4"/>
        <v>462.17</v>
      </c>
      <c r="G47" s="25">
        <v>81</v>
      </c>
      <c r="H47" s="26">
        <f t="shared" si="5"/>
        <v>92.434000000000012</v>
      </c>
      <c r="I47" s="26">
        <f t="shared" si="6"/>
        <v>369.73599999999999</v>
      </c>
      <c r="J47" s="26">
        <f t="shared" si="7"/>
        <v>4.5646419753086418</v>
      </c>
      <c r="K47" s="131" t="s">
        <v>159</v>
      </c>
    </row>
    <row r="48" spans="1:11" ht="26.25" x14ac:dyDescent="0.25">
      <c r="A48" s="173">
        <v>47</v>
      </c>
      <c r="B48" s="178" t="s">
        <v>298</v>
      </c>
      <c r="C48" s="177" t="s">
        <v>196</v>
      </c>
      <c r="D48" s="179">
        <v>1</v>
      </c>
      <c r="E48" s="180">
        <v>35.31</v>
      </c>
      <c r="F48" s="174">
        <f t="shared" si="4"/>
        <v>35.31</v>
      </c>
      <c r="G48" s="25">
        <v>82</v>
      </c>
      <c r="H48" s="26">
        <f t="shared" si="5"/>
        <v>7.0620000000000012</v>
      </c>
      <c r="I48" s="26">
        <f t="shared" si="6"/>
        <v>28.248000000000001</v>
      </c>
      <c r="J48" s="26">
        <f t="shared" si="7"/>
        <v>0.34448780487804881</v>
      </c>
      <c r="K48" s="131" t="s">
        <v>159</v>
      </c>
    </row>
    <row r="49" spans="1:11" x14ac:dyDescent="0.25">
      <c r="A49" s="173">
        <v>48</v>
      </c>
      <c r="B49" s="178" t="s">
        <v>299</v>
      </c>
      <c r="C49" s="177" t="s">
        <v>196</v>
      </c>
      <c r="D49" s="179">
        <v>6</v>
      </c>
      <c r="E49" s="180">
        <v>23.69</v>
      </c>
      <c r="F49" s="174">
        <f t="shared" si="4"/>
        <v>142.14000000000001</v>
      </c>
      <c r="G49" s="25">
        <v>83</v>
      </c>
      <c r="H49" s="26">
        <f t="shared" si="5"/>
        <v>28.428000000000004</v>
      </c>
      <c r="I49" s="26">
        <f t="shared" si="6"/>
        <v>113.71200000000002</v>
      </c>
      <c r="J49" s="26">
        <f t="shared" si="7"/>
        <v>1.3700240963855423</v>
      </c>
      <c r="K49" s="131" t="s">
        <v>159</v>
      </c>
    </row>
  </sheetData>
  <pageMargins left="0.511811024" right="0.511811024" top="0.78740157499999996" bottom="0.78740157499999996" header="0.31496062000000002" footer="0.31496062000000002"/>
  <pageSetup paperSize="9" scale="70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8" workbookViewId="0">
      <selection activeCell="D19" sqref="D19"/>
    </sheetView>
  </sheetViews>
  <sheetFormatPr defaultRowHeight="15.75" x14ac:dyDescent="0.25"/>
  <cols>
    <col min="1" max="1" width="5.42578125" bestFit="1" customWidth="1"/>
    <col min="2" max="2" width="35.85546875" customWidth="1"/>
    <col min="3" max="3" width="8.85546875" bestFit="1" customWidth="1"/>
    <col min="4" max="4" width="11.85546875" style="157" bestFit="1" customWidth="1"/>
    <col min="5" max="5" width="15.7109375" style="157" bestFit="1" customWidth="1"/>
    <col min="6" max="6" width="11.85546875" bestFit="1" customWidth="1"/>
    <col min="7" max="7" width="13.7109375" bestFit="1" customWidth="1"/>
    <col min="8" max="8" width="36.28515625" style="1" bestFit="1" customWidth="1"/>
  </cols>
  <sheetData>
    <row r="1" spans="1:8" x14ac:dyDescent="0.25">
      <c r="A1" s="29" t="s">
        <v>91</v>
      </c>
      <c r="B1" s="29" t="s">
        <v>92</v>
      </c>
      <c r="C1" s="29" t="s">
        <v>196</v>
      </c>
      <c r="D1" s="183" t="s">
        <v>93</v>
      </c>
      <c r="E1" s="184" t="s">
        <v>94</v>
      </c>
      <c r="F1" s="29" t="s">
        <v>95</v>
      </c>
      <c r="G1" s="29" t="s">
        <v>96</v>
      </c>
      <c r="H1" s="29" t="s">
        <v>156</v>
      </c>
    </row>
    <row r="2" spans="1:8" ht="31.5" x14ac:dyDescent="0.25">
      <c r="A2" s="25">
        <v>1</v>
      </c>
      <c r="B2" s="181" t="s">
        <v>310</v>
      </c>
      <c r="C2" s="25" t="s">
        <v>196</v>
      </c>
      <c r="D2" s="172">
        <v>2</v>
      </c>
      <c r="E2" s="185">
        <v>47.36</v>
      </c>
      <c r="F2" s="26">
        <f>D2*E2</f>
        <v>94.72</v>
      </c>
      <c r="G2" s="26">
        <f>F2/12</f>
        <v>7.8933333333333335</v>
      </c>
      <c r="H2" s="131" t="s">
        <v>158</v>
      </c>
    </row>
    <row r="3" spans="1:8" ht="31.5" x14ac:dyDescent="0.25">
      <c r="A3" s="25">
        <v>2</v>
      </c>
      <c r="B3" s="181" t="s">
        <v>311</v>
      </c>
      <c r="C3" s="25" t="s">
        <v>196</v>
      </c>
      <c r="D3" s="172">
        <v>1</v>
      </c>
      <c r="E3" s="185">
        <v>25.9</v>
      </c>
      <c r="F3" s="26">
        <f t="shared" ref="F3:F10" si="0">D3*E3</f>
        <v>25.9</v>
      </c>
      <c r="G3" s="26">
        <f t="shared" ref="G3:G10" si="1">F3/12</f>
        <v>2.1583333333333332</v>
      </c>
      <c r="H3" s="131" t="s">
        <v>158</v>
      </c>
    </row>
    <row r="4" spans="1:8" x14ac:dyDescent="0.25">
      <c r="A4" s="25">
        <v>3</v>
      </c>
      <c r="B4" s="25" t="s">
        <v>312</v>
      </c>
      <c r="C4" s="25" t="s">
        <v>196</v>
      </c>
      <c r="D4" s="172">
        <v>2</v>
      </c>
      <c r="E4" s="185">
        <v>21.78</v>
      </c>
      <c r="F4" s="26">
        <f t="shared" si="0"/>
        <v>43.56</v>
      </c>
      <c r="G4" s="26">
        <f t="shared" si="1"/>
        <v>3.6300000000000003</v>
      </c>
      <c r="H4" s="131" t="s">
        <v>158</v>
      </c>
    </row>
    <row r="5" spans="1:8" x14ac:dyDescent="0.25">
      <c r="A5" s="25">
        <v>4</v>
      </c>
      <c r="B5" s="25" t="s">
        <v>313</v>
      </c>
      <c r="C5" s="25" t="s">
        <v>196</v>
      </c>
      <c r="D5" s="172">
        <v>2</v>
      </c>
      <c r="E5" s="185">
        <v>13.93</v>
      </c>
      <c r="F5" s="26">
        <f t="shared" si="0"/>
        <v>27.86</v>
      </c>
      <c r="G5" s="26">
        <f t="shared" si="1"/>
        <v>2.3216666666666668</v>
      </c>
      <c r="H5" s="131" t="s">
        <v>158</v>
      </c>
    </row>
    <row r="6" spans="1:8" ht="63" x14ac:dyDescent="0.25">
      <c r="A6" s="25">
        <v>5</v>
      </c>
      <c r="B6" s="181" t="s">
        <v>314</v>
      </c>
      <c r="C6" s="25" t="s">
        <v>196</v>
      </c>
      <c r="D6" s="172">
        <v>2</v>
      </c>
      <c r="E6" s="185">
        <v>4.12</v>
      </c>
      <c r="F6" s="26">
        <f t="shared" si="0"/>
        <v>8.24</v>
      </c>
      <c r="G6" s="26">
        <f t="shared" si="1"/>
        <v>0.68666666666666665</v>
      </c>
      <c r="H6" s="131" t="s">
        <v>158</v>
      </c>
    </row>
    <row r="7" spans="1:8" ht="47.25" x14ac:dyDescent="0.25">
      <c r="A7" s="25">
        <v>6</v>
      </c>
      <c r="B7" s="181" t="s">
        <v>315</v>
      </c>
      <c r="C7" s="25" t="s">
        <v>196</v>
      </c>
      <c r="D7" s="172">
        <v>8</v>
      </c>
      <c r="E7" s="185">
        <v>0.52</v>
      </c>
      <c r="F7" s="26">
        <f t="shared" si="0"/>
        <v>4.16</v>
      </c>
      <c r="G7" s="26">
        <f t="shared" si="1"/>
        <v>0.34666666666666668</v>
      </c>
      <c r="H7" s="131" t="s">
        <v>158</v>
      </c>
    </row>
    <row r="8" spans="1:8" ht="47.25" x14ac:dyDescent="0.25">
      <c r="A8" s="25">
        <v>7</v>
      </c>
      <c r="B8" s="181" t="s">
        <v>316</v>
      </c>
      <c r="C8" s="25" t="s">
        <v>196</v>
      </c>
      <c r="D8" s="172">
        <v>4</v>
      </c>
      <c r="E8" s="185">
        <v>4.8099999999999996</v>
      </c>
      <c r="F8" s="26">
        <f t="shared" si="0"/>
        <v>19.239999999999998</v>
      </c>
      <c r="G8" s="26">
        <f t="shared" si="1"/>
        <v>1.6033333333333333</v>
      </c>
      <c r="H8" s="131" t="s">
        <v>158</v>
      </c>
    </row>
    <row r="9" spans="1:8" x14ac:dyDescent="0.25">
      <c r="A9" s="25">
        <v>8</v>
      </c>
      <c r="B9" s="25" t="s">
        <v>317</v>
      </c>
      <c r="C9" s="25" t="s">
        <v>196</v>
      </c>
      <c r="D9" s="172">
        <v>4</v>
      </c>
      <c r="E9" s="185">
        <v>1.77</v>
      </c>
      <c r="F9" s="26">
        <f t="shared" si="0"/>
        <v>7.08</v>
      </c>
      <c r="G9" s="26">
        <f t="shared" si="1"/>
        <v>0.59</v>
      </c>
      <c r="H9" s="131" t="s">
        <v>158</v>
      </c>
    </row>
    <row r="10" spans="1:8" x14ac:dyDescent="0.25">
      <c r="A10" s="25">
        <v>9</v>
      </c>
      <c r="B10" s="25" t="s">
        <v>318</v>
      </c>
      <c r="C10" s="25" t="s">
        <v>196</v>
      </c>
      <c r="D10" s="172">
        <v>3</v>
      </c>
      <c r="E10" s="185">
        <v>17.52</v>
      </c>
      <c r="F10" s="26">
        <f t="shared" si="0"/>
        <v>52.56</v>
      </c>
      <c r="G10" s="26">
        <f t="shared" si="1"/>
        <v>4.38</v>
      </c>
      <c r="H10" s="131" t="s">
        <v>158</v>
      </c>
    </row>
    <row r="11" spans="1:8" ht="31.5" x14ac:dyDescent="0.25">
      <c r="A11" s="25">
        <v>10</v>
      </c>
      <c r="B11" s="181" t="s">
        <v>310</v>
      </c>
      <c r="C11" s="25" t="s">
        <v>196</v>
      </c>
      <c r="D11" s="172">
        <v>2</v>
      </c>
      <c r="E11" s="185">
        <v>47.36</v>
      </c>
      <c r="F11" s="26">
        <f>D11*E11</f>
        <v>94.72</v>
      </c>
      <c r="G11" s="26">
        <f>F11/12</f>
        <v>7.8933333333333335</v>
      </c>
      <c r="H11" s="131" t="s">
        <v>159</v>
      </c>
    </row>
    <row r="12" spans="1:8" ht="31.5" x14ac:dyDescent="0.25">
      <c r="A12" s="25">
        <v>11</v>
      </c>
      <c r="B12" s="181" t="s">
        <v>311</v>
      </c>
      <c r="C12" s="25" t="s">
        <v>196</v>
      </c>
      <c r="D12" s="172">
        <v>1</v>
      </c>
      <c r="E12" s="185">
        <v>25.9</v>
      </c>
      <c r="F12" s="26">
        <f t="shared" ref="F12:F19" si="2">D12*E12</f>
        <v>25.9</v>
      </c>
      <c r="G12" s="26">
        <f t="shared" ref="G12:G19" si="3">F12/12</f>
        <v>2.1583333333333332</v>
      </c>
      <c r="H12" s="131" t="s">
        <v>159</v>
      </c>
    </row>
    <row r="13" spans="1:8" x14ac:dyDescent="0.25">
      <c r="A13" s="25">
        <v>12</v>
      </c>
      <c r="B13" s="25" t="s">
        <v>312</v>
      </c>
      <c r="C13" s="25" t="s">
        <v>196</v>
      </c>
      <c r="D13" s="172">
        <v>2</v>
      </c>
      <c r="E13" s="185">
        <v>21.78</v>
      </c>
      <c r="F13" s="26">
        <f t="shared" si="2"/>
        <v>43.56</v>
      </c>
      <c r="G13" s="26">
        <f t="shared" si="3"/>
        <v>3.6300000000000003</v>
      </c>
      <c r="H13" s="131" t="s">
        <v>159</v>
      </c>
    </row>
    <row r="14" spans="1:8" x14ac:dyDescent="0.25">
      <c r="A14" s="25">
        <v>13</v>
      </c>
      <c r="B14" s="25" t="s">
        <v>313</v>
      </c>
      <c r="C14" s="25" t="s">
        <v>196</v>
      </c>
      <c r="D14" s="172">
        <v>2</v>
      </c>
      <c r="E14" s="185">
        <v>13.93</v>
      </c>
      <c r="F14" s="26">
        <f t="shared" si="2"/>
        <v>27.86</v>
      </c>
      <c r="G14" s="26">
        <f t="shared" si="3"/>
        <v>2.3216666666666668</v>
      </c>
      <c r="H14" s="131" t="s">
        <v>159</v>
      </c>
    </row>
    <row r="15" spans="1:8" ht="63" x14ac:dyDescent="0.25">
      <c r="A15" s="25">
        <v>14</v>
      </c>
      <c r="B15" s="181" t="s">
        <v>314</v>
      </c>
      <c r="C15" s="25" t="s">
        <v>196</v>
      </c>
      <c r="D15" s="172">
        <v>2</v>
      </c>
      <c r="E15" s="185">
        <v>4.12</v>
      </c>
      <c r="F15" s="26">
        <f t="shared" si="2"/>
        <v>8.24</v>
      </c>
      <c r="G15" s="26">
        <f t="shared" si="3"/>
        <v>0.68666666666666665</v>
      </c>
      <c r="H15" s="131" t="s">
        <v>159</v>
      </c>
    </row>
    <row r="16" spans="1:8" ht="47.25" x14ac:dyDescent="0.25">
      <c r="A16" s="25">
        <v>15</v>
      </c>
      <c r="B16" s="181" t="s">
        <v>315</v>
      </c>
      <c r="C16" s="25" t="s">
        <v>196</v>
      </c>
      <c r="D16" s="172">
        <v>8</v>
      </c>
      <c r="E16" s="185">
        <v>0.52</v>
      </c>
      <c r="F16" s="26">
        <f t="shared" si="2"/>
        <v>4.16</v>
      </c>
      <c r="G16" s="26">
        <f t="shared" si="3"/>
        <v>0.34666666666666668</v>
      </c>
      <c r="H16" s="131" t="s">
        <v>159</v>
      </c>
    </row>
    <row r="17" spans="1:8" ht="47.25" x14ac:dyDescent="0.25">
      <c r="A17" s="25">
        <v>16</v>
      </c>
      <c r="B17" s="181" t="s">
        <v>316</v>
      </c>
      <c r="C17" s="25" t="s">
        <v>196</v>
      </c>
      <c r="D17" s="172">
        <v>4</v>
      </c>
      <c r="E17" s="185">
        <v>4.8099999999999996</v>
      </c>
      <c r="F17" s="26">
        <f t="shared" si="2"/>
        <v>19.239999999999998</v>
      </c>
      <c r="G17" s="26">
        <f t="shared" si="3"/>
        <v>1.6033333333333333</v>
      </c>
      <c r="H17" s="131" t="s">
        <v>159</v>
      </c>
    </row>
    <row r="18" spans="1:8" x14ac:dyDescent="0.25">
      <c r="A18" s="25">
        <v>17</v>
      </c>
      <c r="B18" s="25" t="s">
        <v>317</v>
      </c>
      <c r="C18" s="25" t="s">
        <v>196</v>
      </c>
      <c r="D18" s="172">
        <v>4</v>
      </c>
      <c r="E18" s="185">
        <v>1.77</v>
      </c>
      <c r="F18" s="26">
        <f t="shared" si="2"/>
        <v>7.08</v>
      </c>
      <c r="G18" s="26">
        <f t="shared" si="3"/>
        <v>0.59</v>
      </c>
      <c r="H18" s="131" t="s">
        <v>159</v>
      </c>
    </row>
    <row r="19" spans="1:8" x14ac:dyDescent="0.25">
      <c r="A19" s="25">
        <v>18</v>
      </c>
      <c r="B19" s="25" t="s">
        <v>318</v>
      </c>
      <c r="C19" s="25" t="s">
        <v>196</v>
      </c>
      <c r="D19" s="172">
        <v>3</v>
      </c>
      <c r="E19" s="185">
        <v>17.52</v>
      </c>
      <c r="F19" s="26">
        <f t="shared" si="2"/>
        <v>52.56</v>
      </c>
      <c r="G19" s="26">
        <f t="shared" si="3"/>
        <v>4.38</v>
      </c>
      <c r="H19" s="131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16" sqref="H16"/>
    </sheetView>
  </sheetViews>
  <sheetFormatPr defaultRowHeight="15.75" x14ac:dyDescent="0.25"/>
  <cols>
    <col min="1" max="1" width="5.42578125" bestFit="1" customWidth="1"/>
    <col min="2" max="2" width="41" customWidth="1"/>
    <col min="3" max="4" width="10.5703125" customWidth="1"/>
    <col min="5" max="5" width="11.85546875" bestFit="1" customWidth="1"/>
    <col min="6" max="6" width="15.7109375" bestFit="1" customWidth="1"/>
    <col min="7" max="7" width="11.85546875" bestFit="1" customWidth="1"/>
    <col min="8" max="8" width="13.7109375" bestFit="1" customWidth="1"/>
    <col min="9" max="9" width="24.28515625" style="1" customWidth="1"/>
  </cols>
  <sheetData>
    <row r="1" spans="1:9" ht="47.25" x14ac:dyDescent="0.25">
      <c r="A1" s="29" t="s">
        <v>91</v>
      </c>
      <c r="B1" s="29" t="s">
        <v>92</v>
      </c>
      <c r="C1" s="96" t="s">
        <v>196</v>
      </c>
      <c r="D1" s="97" t="s">
        <v>197</v>
      </c>
      <c r="E1" s="29" t="s">
        <v>93</v>
      </c>
      <c r="F1" s="30" t="s">
        <v>94</v>
      </c>
      <c r="G1" s="29" t="s">
        <v>95</v>
      </c>
      <c r="H1" s="29" t="s">
        <v>96</v>
      </c>
      <c r="I1" s="29" t="s">
        <v>156</v>
      </c>
    </row>
    <row r="2" spans="1:9" x14ac:dyDescent="0.25">
      <c r="A2" s="25">
        <v>1</v>
      </c>
      <c r="B2" s="25" t="s">
        <v>300</v>
      </c>
      <c r="C2" s="25" t="s">
        <v>196</v>
      </c>
      <c r="D2" s="25">
        <v>1</v>
      </c>
      <c r="E2" s="25"/>
      <c r="F2" s="182">
        <v>23.91</v>
      </c>
      <c r="G2" s="26">
        <f>F2*E2</f>
        <v>0</v>
      </c>
      <c r="H2" s="26">
        <f>F2*D2</f>
        <v>23.91</v>
      </c>
      <c r="I2" s="131" t="s">
        <v>158</v>
      </c>
    </row>
    <row r="3" spans="1:9" x14ac:dyDescent="0.25">
      <c r="A3" s="25">
        <v>2</v>
      </c>
      <c r="B3" s="25" t="s">
        <v>301</v>
      </c>
      <c r="C3" s="25" t="s">
        <v>196</v>
      </c>
      <c r="D3" s="25">
        <v>1</v>
      </c>
      <c r="E3" s="25"/>
      <c r="F3" s="182">
        <v>18.04</v>
      </c>
      <c r="G3" s="26">
        <f t="shared" ref="G3:G4" si="0">F3*E3</f>
        <v>0</v>
      </c>
      <c r="H3" s="26">
        <f t="shared" ref="H3:H4" si="1">F3*D3</f>
        <v>18.04</v>
      </c>
      <c r="I3" s="131" t="s">
        <v>158</v>
      </c>
    </row>
    <row r="4" spans="1:9" ht="63" x14ac:dyDescent="0.25">
      <c r="A4" s="25">
        <v>3</v>
      </c>
      <c r="B4" s="181" t="s">
        <v>302</v>
      </c>
      <c r="C4" s="25" t="s">
        <v>196</v>
      </c>
      <c r="D4" s="25">
        <v>1</v>
      </c>
      <c r="E4" s="25"/>
      <c r="F4" s="182">
        <v>24.5</v>
      </c>
      <c r="G4" s="26">
        <f t="shared" si="0"/>
        <v>0</v>
      </c>
      <c r="H4" s="26">
        <f t="shared" si="1"/>
        <v>24.5</v>
      </c>
      <c r="I4" s="131" t="s">
        <v>158</v>
      </c>
    </row>
    <row r="5" spans="1:9" x14ac:dyDescent="0.25">
      <c r="A5" s="25">
        <v>4</v>
      </c>
      <c r="B5" s="25" t="s">
        <v>300</v>
      </c>
      <c r="C5" s="25" t="s">
        <v>196</v>
      </c>
      <c r="D5" s="25">
        <v>1</v>
      </c>
      <c r="E5" s="25"/>
      <c r="F5" s="182">
        <v>23.91</v>
      </c>
      <c r="G5" s="26">
        <f>F5*E5</f>
        <v>0</v>
      </c>
      <c r="H5" s="26">
        <f>F5*D5</f>
        <v>23.91</v>
      </c>
      <c r="I5" s="131" t="s">
        <v>159</v>
      </c>
    </row>
    <row r="6" spans="1:9" x14ac:dyDescent="0.25">
      <c r="A6" s="25">
        <v>5</v>
      </c>
      <c r="B6" s="25" t="s">
        <v>301</v>
      </c>
      <c r="C6" s="25" t="s">
        <v>196</v>
      </c>
      <c r="D6" s="25">
        <v>1</v>
      </c>
      <c r="E6" s="25"/>
      <c r="F6" s="182">
        <v>18.04</v>
      </c>
      <c r="G6" s="26">
        <f t="shared" ref="G6:G7" si="2">F6*E6</f>
        <v>0</v>
      </c>
      <c r="H6" s="26">
        <f t="shared" ref="H6:H7" si="3">F6*D6</f>
        <v>18.04</v>
      </c>
      <c r="I6" s="131" t="s">
        <v>159</v>
      </c>
    </row>
    <row r="7" spans="1:9" ht="63" x14ac:dyDescent="0.25">
      <c r="A7" s="25">
        <v>6</v>
      </c>
      <c r="B7" s="181" t="s">
        <v>302</v>
      </c>
      <c r="C7" s="25" t="s">
        <v>196</v>
      </c>
      <c r="D7" s="25">
        <v>1</v>
      </c>
      <c r="E7" s="25"/>
      <c r="F7" s="182">
        <v>24.5</v>
      </c>
      <c r="G7" s="26">
        <f t="shared" si="2"/>
        <v>0</v>
      </c>
      <c r="H7" s="26">
        <f t="shared" si="3"/>
        <v>24.5</v>
      </c>
      <c r="I7" s="131" t="s">
        <v>159</v>
      </c>
    </row>
  </sheetData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D15" sqref="D15"/>
    </sheetView>
  </sheetViews>
  <sheetFormatPr defaultColWidth="9.140625" defaultRowHeight="15.75" x14ac:dyDescent="0.25"/>
  <cols>
    <col min="1" max="1" width="5.42578125" style="1" bestFit="1" customWidth="1"/>
    <col min="2" max="2" width="54.5703125" style="1" customWidth="1"/>
    <col min="3" max="3" width="8.85546875" style="1" bestFit="1" customWidth="1"/>
    <col min="4" max="4" width="11.85546875" style="1" bestFit="1" customWidth="1"/>
    <col min="5" max="5" width="15.7109375" style="24" bestFit="1" customWidth="1"/>
    <col min="6" max="6" width="11.85546875" style="1" bestFit="1" customWidth="1"/>
    <col min="7" max="7" width="13.7109375" style="1" bestFit="1" customWidth="1"/>
    <col min="8" max="8" width="36.28515625" style="1" bestFit="1" customWidth="1"/>
    <col min="9" max="16384" width="9.140625" style="1"/>
  </cols>
  <sheetData>
    <row r="1" spans="1:8" s="28" customFormat="1" x14ac:dyDescent="0.25">
      <c r="A1" s="29" t="s">
        <v>91</v>
      </c>
      <c r="B1" s="29" t="s">
        <v>92</v>
      </c>
      <c r="C1" s="29" t="s">
        <v>196</v>
      </c>
      <c r="D1" s="29" t="s">
        <v>93</v>
      </c>
      <c r="E1" s="30" t="s">
        <v>94</v>
      </c>
      <c r="F1" s="29" t="s">
        <v>95</v>
      </c>
      <c r="G1" s="29" t="s">
        <v>96</v>
      </c>
      <c r="H1" s="29" t="s">
        <v>156</v>
      </c>
    </row>
    <row r="2" spans="1:8" x14ac:dyDescent="0.25">
      <c r="A2" s="25">
        <v>1</v>
      </c>
      <c r="B2" s="25" t="s">
        <v>303</v>
      </c>
      <c r="C2" s="25" t="s">
        <v>196</v>
      </c>
      <c r="D2" s="25">
        <v>4</v>
      </c>
      <c r="E2" s="185">
        <v>62.9</v>
      </c>
      <c r="F2" s="26">
        <f>D2*E2</f>
        <v>251.6</v>
      </c>
      <c r="G2" s="26">
        <f>F2/12</f>
        <v>20.966666666666665</v>
      </c>
      <c r="H2" s="131" t="s">
        <v>158</v>
      </c>
    </row>
    <row r="3" spans="1:8" x14ac:dyDescent="0.25">
      <c r="A3" s="25">
        <v>2</v>
      </c>
      <c r="B3" s="25" t="s">
        <v>304</v>
      </c>
      <c r="C3" s="25" t="s">
        <v>196</v>
      </c>
      <c r="D3" s="25">
        <v>6</v>
      </c>
      <c r="E3" s="185">
        <v>29.17</v>
      </c>
      <c r="F3" s="26">
        <f t="shared" ref="F3" si="0">D3*E3</f>
        <v>175.02</v>
      </c>
      <c r="G3" s="26">
        <f>F3/12</f>
        <v>14.585000000000001</v>
      </c>
      <c r="H3" s="131" t="s">
        <v>158</v>
      </c>
    </row>
    <row r="4" spans="1:8" x14ac:dyDescent="0.25">
      <c r="A4" s="25">
        <v>3</v>
      </c>
      <c r="B4" s="25" t="s">
        <v>305</v>
      </c>
      <c r="C4" s="25" t="s">
        <v>306</v>
      </c>
      <c r="D4" s="25">
        <v>4</v>
      </c>
      <c r="E4" s="185">
        <v>63.12</v>
      </c>
      <c r="F4" s="26">
        <f t="shared" ref="F4:F8" si="1">D4*E4</f>
        <v>252.48</v>
      </c>
      <c r="G4" s="26">
        <f t="shared" ref="G4:G8" si="2">F4/12</f>
        <v>21.04</v>
      </c>
      <c r="H4" s="131" t="s">
        <v>158</v>
      </c>
    </row>
    <row r="5" spans="1:8" x14ac:dyDescent="0.25">
      <c r="A5" s="25">
        <v>4</v>
      </c>
      <c r="B5" s="25" t="s">
        <v>307</v>
      </c>
      <c r="C5" s="25" t="s">
        <v>196</v>
      </c>
      <c r="D5" s="25">
        <v>6</v>
      </c>
      <c r="E5" s="185">
        <v>20.100000000000001</v>
      </c>
      <c r="F5" s="26">
        <f t="shared" si="1"/>
        <v>120.60000000000001</v>
      </c>
      <c r="G5" s="26">
        <f t="shared" si="2"/>
        <v>10.050000000000001</v>
      </c>
      <c r="H5" s="131" t="s">
        <v>158</v>
      </c>
    </row>
    <row r="6" spans="1:8" x14ac:dyDescent="0.25">
      <c r="A6" s="25">
        <v>5</v>
      </c>
      <c r="B6" s="25" t="s">
        <v>308</v>
      </c>
      <c r="C6" s="25" t="s">
        <v>306</v>
      </c>
      <c r="D6" s="25">
        <v>6</v>
      </c>
      <c r="E6" s="185">
        <v>19.45</v>
      </c>
      <c r="F6" s="26">
        <f t="shared" si="1"/>
        <v>116.69999999999999</v>
      </c>
      <c r="G6" s="26">
        <f t="shared" si="2"/>
        <v>9.7249999999999996</v>
      </c>
      <c r="H6" s="131" t="s">
        <v>158</v>
      </c>
    </row>
    <row r="7" spans="1:8" x14ac:dyDescent="0.25">
      <c r="A7" s="25">
        <v>6</v>
      </c>
      <c r="B7" s="25" t="s">
        <v>309</v>
      </c>
      <c r="C7" s="25" t="s">
        <v>196</v>
      </c>
      <c r="D7" s="25">
        <v>2</v>
      </c>
      <c r="E7" s="185">
        <v>28.18</v>
      </c>
      <c r="F7" s="26">
        <f t="shared" si="1"/>
        <v>56.36</v>
      </c>
      <c r="G7" s="26">
        <f t="shared" si="2"/>
        <v>4.6966666666666663</v>
      </c>
      <c r="H7" s="131" t="s">
        <v>158</v>
      </c>
    </row>
    <row r="8" spans="1:8" x14ac:dyDescent="0.25">
      <c r="A8" s="25">
        <v>7</v>
      </c>
      <c r="B8" s="25" t="s">
        <v>240</v>
      </c>
      <c r="C8" s="25" t="s">
        <v>196</v>
      </c>
      <c r="D8" s="25">
        <v>1</v>
      </c>
      <c r="E8" s="185">
        <v>13.88</v>
      </c>
      <c r="F8" s="26">
        <f t="shared" si="1"/>
        <v>13.88</v>
      </c>
      <c r="G8" s="26">
        <f t="shared" si="2"/>
        <v>1.1566666666666667</v>
      </c>
      <c r="H8" s="131" t="s">
        <v>158</v>
      </c>
    </row>
    <row r="9" spans="1:8" x14ac:dyDescent="0.25">
      <c r="A9" s="25">
        <v>8</v>
      </c>
      <c r="B9" s="25" t="s">
        <v>303</v>
      </c>
      <c r="C9" s="25" t="s">
        <v>196</v>
      </c>
      <c r="D9" s="25">
        <v>4</v>
      </c>
      <c r="E9" s="185">
        <v>62.9</v>
      </c>
      <c r="F9" s="26">
        <f>D9*E9</f>
        <v>251.6</v>
      </c>
      <c r="G9" s="26">
        <f>F9/12</f>
        <v>20.966666666666665</v>
      </c>
      <c r="H9" s="131" t="s">
        <v>159</v>
      </c>
    </row>
    <row r="10" spans="1:8" x14ac:dyDescent="0.25">
      <c r="A10" s="25">
        <v>9</v>
      </c>
      <c r="B10" s="25" t="s">
        <v>304</v>
      </c>
      <c r="C10" s="25" t="s">
        <v>196</v>
      </c>
      <c r="D10" s="25">
        <v>6</v>
      </c>
      <c r="E10" s="185">
        <v>29.17</v>
      </c>
      <c r="F10" s="26">
        <f t="shared" ref="F10:F15" si="3">D10*E10</f>
        <v>175.02</v>
      </c>
      <c r="G10" s="26">
        <f>F10/12</f>
        <v>14.585000000000001</v>
      </c>
      <c r="H10" s="131" t="s">
        <v>159</v>
      </c>
    </row>
    <row r="11" spans="1:8" x14ac:dyDescent="0.25">
      <c r="A11" s="25">
        <v>10</v>
      </c>
      <c r="B11" s="25" t="s">
        <v>305</v>
      </c>
      <c r="C11" s="25" t="s">
        <v>306</v>
      </c>
      <c r="D11" s="25">
        <v>4</v>
      </c>
      <c r="E11" s="185">
        <v>63.12</v>
      </c>
      <c r="F11" s="26">
        <f t="shared" si="3"/>
        <v>252.48</v>
      </c>
      <c r="G11" s="26">
        <f t="shared" ref="G11:G15" si="4">F11/12</f>
        <v>21.04</v>
      </c>
      <c r="H11" s="131" t="s">
        <v>159</v>
      </c>
    </row>
    <row r="12" spans="1:8" x14ac:dyDescent="0.25">
      <c r="A12" s="25">
        <v>11</v>
      </c>
      <c r="B12" s="25" t="s">
        <v>307</v>
      </c>
      <c r="C12" s="25" t="s">
        <v>196</v>
      </c>
      <c r="D12" s="25">
        <v>6</v>
      </c>
      <c r="E12" s="185">
        <v>20.100000000000001</v>
      </c>
      <c r="F12" s="26">
        <f t="shared" si="3"/>
        <v>120.60000000000001</v>
      </c>
      <c r="G12" s="26">
        <f t="shared" si="4"/>
        <v>10.050000000000001</v>
      </c>
      <c r="H12" s="131" t="s">
        <v>159</v>
      </c>
    </row>
    <row r="13" spans="1:8" x14ac:dyDescent="0.25">
      <c r="A13" s="25">
        <v>12</v>
      </c>
      <c r="B13" s="25" t="s">
        <v>308</v>
      </c>
      <c r="C13" s="25" t="s">
        <v>306</v>
      </c>
      <c r="D13" s="25">
        <v>6</v>
      </c>
      <c r="E13" s="185">
        <v>19.45</v>
      </c>
      <c r="F13" s="26">
        <f t="shared" si="3"/>
        <v>116.69999999999999</v>
      </c>
      <c r="G13" s="26">
        <f t="shared" si="4"/>
        <v>9.7249999999999996</v>
      </c>
      <c r="H13" s="131" t="s">
        <v>159</v>
      </c>
    </row>
    <row r="14" spans="1:8" x14ac:dyDescent="0.25">
      <c r="A14" s="25">
        <v>13</v>
      </c>
      <c r="B14" s="25" t="s">
        <v>309</v>
      </c>
      <c r="C14" s="25" t="s">
        <v>196</v>
      </c>
      <c r="D14" s="25">
        <v>2</v>
      </c>
      <c r="E14" s="185">
        <v>28.18</v>
      </c>
      <c r="F14" s="26">
        <f t="shared" si="3"/>
        <v>56.36</v>
      </c>
      <c r="G14" s="26">
        <f t="shared" si="4"/>
        <v>4.6966666666666663</v>
      </c>
      <c r="H14" s="131" t="s">
        <v>159</v>
      </c>
    </row>
    <row r="15" spans="1:8" x14ac:dyDescent="0.25">
      <c r="A15" s="25">
        <v>14</v>
      </c>
      <c r="B15" s="25" t="s">
        <v>240</v>
      </c>
      <c r="C15" s="25" t="s">
        <v>196</v>
      </c>
      <c r="D15" s="25">
        <v>1</v>
      </c>
      <c r="E15" s="185">
        <v>13.88</v>
      </c>
      <c r="F15" s="26">
        <f t="shared" si="3"/>
        <v>13.88</v>
      </c>
      <c r="G15" s="26">
        <f t="shared" si="4"/>
        <v>1.1566666666666667</v>
      </c>
      <c r="H15" s="131" t="s">
        <v>159</v>
      </c>
    </row>
  </sheetData>
  <pageMargins left="0.511811024" right="0.511811024" top="0.78740157499999996" bottom="0.78740157499999996" header="0.31496062000000002" footer="0.31496062000000002"/>
  <pageSetup paperSize="9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O39" sqref="O39"/>
    </sheetView>
  </sheetViews>
  <sheetFormatPr defaultRowHeight="15" x14ac:dyDescent="0.25"/>
  <cols>
    <col min="2" max="2" width="60" bestFit="1" customWidth="1"/>
    <col min="3" max="3" width="10.7109375" bestFit="1" customWidth="1"/>
    <col min="4" max="4" width="8.28515625" bestFit="1" customWidth="1"/>
    <col min="6" max="6" width="15.85546875" bestFit="1" customWidth="1"/>
    <col min="7" max="7" width="9.5703125" bestFit="1" customWidth="1"/>
    <col min="8" max="8" width="13.7109375" bestFit="1" customWidth="1"/>
    <col min="9" max="9" width="19.7109375" bestFit="1" customWidth="1"/>
  </cols>
  <sheetData>
    <row r="1" spans="1:9" ht="47.25" x14ac:dyDescent="0.25">
      <c r="A1" s="29" t="s">
        <v>91</v>
      </c>
      <c r="B1" s="29" t="s">
        <v>92</v>
      </c>
      <c r="C1" s="96" t="s">
        <v>196</v>
      </c>
      <c r="D1" s="97" t="s">
        <v>197</v>
      </c>
      <c r="E1" s="29" t="s">
        <v>93</v>
      </c>
      <c r="F1" s="30" t="s">
        <v>94</v>
      </c>
      <c r="G1" s="29" t="s">
        <v>95</v>
      </c>
      <c r="H1" s="29" t="s">
        <v>96</v>
      </c>
      <c r="I1" s="29" t="s">
        <v>156</v>
      </c>
    </row>
    <row r="2" spans="1:9" x14ac:dyDescent="0.25">
      <c r="A2" s="131">
        <v>1</v>
      </c>
      <c r="B2" s="131" t="s">
        <v>221</v>
      </c>
      <c r="C2" s="131" t="s">
        <v>239</v>
      </c>
      <c r="D2" s="131">
        <f>E2/12</f>
        <v>1.6666666666666667</v>
      </c>
      <c r="E2" s="131">
        <v>20</v>
      </c>
      <c r="F2" s="132"/>
      <c r="G2" s="132">
        <f>E2*F2</f>
        <v>0</v>
      </c>
      <c r="H2" s="132">
        <f>G2/12</f>
        <v>0</v>
      </c>
      <c r="I2" s="131" t="s">
        <v>153</v>
      </c>
    </row>
    <row r="3" spans="1:9" x14ac:dyDescent="0.25">
      <c r="A3" s="131">
        <v>2</v>
      </c>
      <c r="B3" s="131" t="s">
        <v>222</v>
      </c>
      <c r="C3" s="131" t="s">
        <v>239</v>
      </c>
      <c r="D3" s="131">
        <f t="shared" ref="D3:D19" si="0">E3/12</f>
        <v>0.25</v>
      </c>
      <c r="E3" s="131">
        <v>3</v>
      </c>
      <c r="F3" s="132"/>
      <c r="G3" s="132">
        <f t="shared" ref="G3:G19" si="1">E3*F3</f>
        <v>0</v>
      </c>
      <c r="H3" s="132">
        <f t="shared" ref="H3:H19" si="2">G3/12</f>
        <v>0</v>
      </c>
      <c r="I3" s="131" t="s">
        <v>153</v>
      </c>
    </row>
    <row r="4" spans="1:9" x14ac:dyDescent="0.25">
      <c r="A4" s="131">
        <v>3</v>
      </c>
      <c r="B4" s="131" t="s">
        <v>223</v>
      </c>
      <c r="C4" s="131" t="s">
        <v>239</v>
      </c>
      <c r="D4" s="131">
        <f t="shared" si="0"/>
        <v>8.3333333333333329E-2</v>
      </c>
      <c r="E4" s="131">
        <v>1</v>
      </c>
      <c r="F4" s="132"/>
      <c r="G4" s="132">
        <f t="shared" si="1"/>
        <v>0</v>
      </c>
      <c r="H4" s="132">
        <f t="shared" si="2"/>
        <v>0</v>
      </c>
      <c r="I4" s="131" t="s">
        <v>153</v>
      </c>
    </row>
    <row r="5" spans="1:9" x14ac:dyDescent="0.25">
      <c r="A5" s="131">
        <v>4</v>
      </c>
      <c r="B5" s="131" t="s">
        <v>224</v>
      </c>
      <c r="C5" s="131" t="s">
        <v>239</v>
      </c>
      <c r="D5" s="131">
        <f t="shared" si="0"/>
        <v>0.16666666666666666</v>
      </c>
      <c r="E5" s="131">
        <v>2</v>
      </c>
      <c r="F5" s="132"/>
      <c r="G5" s="132">
        <f t="shared" si="1"/>
        <v>0</v>
      </c>
      <c r="H5" s="132">
        <f t="shared" si="2"/>
        <v>0</v>
      </c>
      <c r="I5" s="131" t="s">
        <v>153</v>
      </c>
    </row>
    <row r="6" spans="1:9" x14ac:dyDescent="0.25">
      <c r="A6" s="131">
        <v>5</v>
      </c>
      <c r="B6" s="131" t="s">
        <v>225</v>
      </c>
      <c r="C6" s="131" t="s">
        <v>239</v>
      </c>
      <c r="D6" s="131">
        <f t="shared" si="0"/>
        <v>1.1666666666666667</v>
      </c>
      <c r="E6" s="131">
        <v>14</v>
      </c>
      <c r="F6" s="132"/>
      <c r="G6" s="132">
        <f t="shared" si="1"/>
        <v>0</v>
      </c>
      <c r="H6" s="132">
        <f t="shared" si="2"/>
        <v>0</v>
      </c>
      <c r="I6" s="131" t="s">
        <v>153</v>
      </c>
    </row>
    <row r="7" spans="1:9" x14ac:dyDescent="0.25">
      <c r="A7" s="131">
        <v>6</v>
      </c>
      <c r="B7" s="131" t="s">
        <v>226</v>
      </c>
      <c r="C7" s="131" t="s">
        <v>239</v>
      </c>
      <c r="D7" s="131">
        <f t="shared" si="0"/>
        <v>4.166666666666667</v>
      </c>
      <c r="E7" s="131">
        <v>50</v>
      </c>
      <c r="F7" s="132"/>
      <c r="G7" s="132">
        <f t="shared" si="1"/>
        <v>0</v>
      </c>
      <c r="H7" s="132">
        <f t="shared" si="2"/>
        <v>0</v>
      </c>
      <c r="I7" s="131" t="s">
        <v>153</v>
      </c>
    </row>
    <row r="8" spans="1:9" x14ac:dyDescent="0.25">
      <c r="A8" s="131">
        <v>7</v>
      </c>
      <c r="B8" s="131" t="s">
        <v>227</v>
      </c>
      <c r="C8" s="131" t="s">
        <v>239</v>
      </c>
      <c r="D8" s="131">
        <f t="shared" si="0"/>
        <v>0.41666666666666669</v>
      </c>
      <c r="E8" s="131">
        <v>5</v>
      </c>
      <c r="F8" s="132"/>
      <c r="G8" s="132">
        <f t="shared" si="1"/>
        <v>0</v>
      </c>
      <c r="H8" s="132">
        <f t="shared" si="2"/>
        <v>0</v>
      </c>
      <c r="I8" s="131" t="s">
        <v>153</v>
      </c>
    </row>
    <row r="9" spans="1:9" x14ac:dyDescent="0.25">
      <c r="A9" s="131">
        <v>8</v>
      </c>
      <c r="B9" s="131" t="s">
        <v>228</v>
      </c>
      <c r="C9" s="131" t="s">
        <v>239</v>
      </c>
      <c r="D9" s="131">
        <f t="shared" si="0"/>
        <v>0.16666666666666666</v>
      </c>
      <c r="E9" s="131">
        <v>2</v>
      </c>
      <c r="F9" s="132"/>
      <c r="G9" s="132">
        <f t="shared" si="1"/>
        <v>0</v>
      </c>
      <c r="H9" s="132">
        <f t="shared" si="2"/>
        <v>0</v>
      </c>
      <c r="I9" s="131" t="s">
        <v>153</v>
      </c>
    </row>
    <row r="10" spans="1:9" x14ac:dyDescent="0.25">
      <c r="A10" s="131">
        <v>9</v>
      </c>
      <c r="B10" s="131" t="s">
        <v>229</v>
      </c>
      <c r="C10" s="131" t="s">
        <v>239</v>
      </c>
      <c r="D10" s="131">
        <f t="shared" si="0"/>
        <v>4.166666666666667</v>
      </c>
      <c r="E10" s="131">
        <v>50</v>
      </c>
      <c r="F10" s="132"/>
      <c r="G10" s="132">
        <f t="shared" si="1"/>
        <v>0</v>
      </c>
      <c r="H10" s="132">
        <f t="shared" si="2"/>
        <v>0</v>
      </c>
      <c r="I10" s="131" t="s">
        <v>153</v>
      </c>
    </row>
    <row r="11" spans="1:9" x14ac:dyDescent="0.25">
      <c r="A11" s="131">
        <v>10</v>
      </c>
      <c r="B11" s="131" t="s">
        <v>230</v>
      </c>
      <c r="C11" s="131" t="s">
        <v>239</v>
      </c>
      <c r="D11" s="131">
        <f t="shared" si="0"/>
        <v>4.166666666666667</v>
      </c>
      <c r="E11" s="131">
        <v>50</v>
      </c>
      <c r="F11" s="132"/>
      <c r="G11" s="132">
        <f t="shared" si="1"/>
        <v>0</v>
      </c>
      <c r="H11" s="132">
        <f t="shared" si="2"/>
        <v>0</v>
      </c>
      <c r="I11" s="131" t="s">
        <v>153</v>
      </c>
    </row>
    <row r="12" spans="1:9" x14ac:dyDescent="0.25">
      <c r="A12" s="131">
        <v>11</v>
      </c>
      <c r="B12" s="131" t="s">
        <v>231</v>
      </c>
      <c r="C12" s="131" t="s">
        <v>239</v>
      </c>
      <c r="D12" s="131">
        <f t="shared" si="0"/>
        <v>1.25</v>
      </c>
      <c r="E12" s="131">
        <v>15</v>
      </c>
      <c r="F12" s="132"/>
      <c r="G12" s="132">
        <f t="shared" si="1"/>
        <v>0</v>
      </c>
      <c r="H12" s="132">
        <f t="shared" si="2"/>
        <v>0</v>
      </c>
      <c r="I12" s="131" t="s">
        <v>153</v>
      </c>
    </row>
    <row r="13" spans="1:9" x14ac:dyDescent="0.25">
      <c r="A13" s="131">
        <v>12</v>
      </c>
      <c r="B13" s="131" t="s">
        <v>232</v>
      </c>
      <c r="C13" s="131" t="s">
        <v>239</v>
      </c>
      <c r="D13" s="131">
        <f t="shared" si="0"/>
        <v>4.166666666666667</v>
      </c>
      <c r="E13" s="131">
        <v>50</v>
      </c>
      <c r="F13" s="132"/>
      <c r="G13" s="132">
        <f t="shared" si="1"/>
        <v>0</v>
      </c>
      <c r="H13" s="132">
        <f t="shared" si="2"/>
        <v>0</v>
      </c>
      <c r="I13" s="131" t="s">
        <v>153</v>
      </c>
    </row>
    <row r="14" spans="1:9" x14ac:dyDescent="0.25">
      <c r="A14" s="131">
        <v>13</v>
      </c>
      <c r="B14" s="131" t="s">
        <v>233</v>
      </c>
      <c r="C14" s="131" t="s">
        <v>239</v>
      </c>
      <c r="D14" s="131">
        <f t="shared" si="0"/>
        <v>4.166666666666667</v>
      </c>
      <c r="E14" s="131">
        <v>50</v>
      </c>
      <c r="F14" s="132"/>
      <c r="G14" s="132">
        <f t="shared" si="1"/>
        <v>0</v>
      </c>
      <c r="H14" s="132">
        <f t="shared" si="2"/>
        <v>0</v>
      </c>
      <c r="I14" s="131" t="s">
        <v>153</v>
      </c>
    </row>
    <row r="15" spans="1:9" x14ac:dyDescent="0.25">
      <c r="A15" s="131">
        <v>14</v>
      </c>
      <c r="B15" s="131" t="s">
        <v>234</v>
      </c>
      <c r="C15" s="131" t="s">
        <v>239</v>
      </c>
      <c r="D15" s="131">
        <f t="shared" si="0"/>
        <v>2.9166666666666665</v>
      </c>
      <c r="E15" s="131">
        <v>35</v>
      </c>
      <c r="F15" s="132"/>
      <c r="G15" s="132">
        <f t="shared" si="1"/>
        <v>0</v>
      </c>
      <c r="H15" s="132">
        <f t="shared" si="2"/>
        <v>0</v>
      </c>
      <c r="I15" s="131" t="s">
        <v>153</v>
      </c>
    </row>
    <row r="16" spans="1:9" x14ac:dyDescent="0.25">
      <c r="A16" s="131">
        <v>15</v>
      </c>
      <c r="B16" s="131" t="s">
        <v>235</v>
      </c>
      <c r="C16" s="131" t="s">
        <v>239</v>
      </c>
      <c r="D16" s="131">
        <f t="shared" si="0"/>
        <v>0.33333333333333331</v>
      </c>
      <c r="E16" s="131">
        <v>4</v>
      </c>
      <c r="F16" s="132"/>
      <c r="G16" s="132">
        <f t="shared" si="1"/>
        <v>0</v>
      </c>
      <c r="H16" s="132">
        <f t="shared" si="2"/>
        <v>0</v>
      </c>
      <c r="I16" s="131" t="s">
        <v>153</v>
      </c>
    </row>
    <row r="17" spans="1:9" x14ac:dyDescent="0.25">
      <c r="A17" s="131">
        <v>16</v>
      </c>
      <c r="B17" s="131" t="s">
        <v>236</v>
      </c>
      <c r="C17" s="131" t="s">
        <v>239</v>
      </c>
      <c r="D17" s="131">
        <f t="shared" si="0"/>
        <v>8.3333333333333339</v>
      </c>
      <c r="E17" s="131">
        <v>100</v>
      </c>
      <c r="F17" s="132"/>
      <c r="G17" s="132">
        <f t="shared" si="1"/>
        <v>0</v>
      </c>
      <c r="H17" s="132">
        <f t="shared" si="2"/>
        <v>0</v>
      </c>
      <c r="I17" s="131" t="s">
        <v>153</v>
      </c>
    </row>
    <row r="18" spans="1:9" x14ac:dyDescent="0.25">
      <c r="A18" s="131">
        <v>17</v>
      </c>
      <c r="B18" s="131" t="s">
        <v>237</v>
      </c>
      <c r="C18" s="131" t="s">
        <v>239</v>
      </c>
      <c r="D18" s="131">
        <f t="shared" si="0"/>
        <v>2.5</v>
      </c>
      <c r="E18" s="131">
        <v>30</v>
      </c>
      <c r="F18" s="132"/>
      <c r="G18" s="132">
        <f t="shared" si="1"/>
        <v>0</v>
      </c>
      <c r="H18" s="132">
        <f t="shared" si="2"/>
        <v>0</v>
      </c>
      <c r="I18" s="131" t="s">
        <v>153</v>
      </c>
    </row>
    <row r="19" spans="1:9" x14ac:dyDescent="0.25">
      <c r="A19" s="131">
        <v>18</v>
      </c>
      <c r="B19" s="131" t="s">
        <v>238</v>
      </c>
      <c r="C19" s="131" t="s">
        <v>239</v>
      </c>
      <c r="D19" s="131">
        <f t="shared" si="0"/>
        <v>0.83333333333333337</v>
      </c>
      <c r="E19" s="131">
        <v>10</v>
      </c>
      <c r="F19" s="132"/>
      <c r="G19" s="132">
        <f t="shared" si="1"/>
        <v>0</v>
      </c>
      <c r="H19" s="132">
        <f t="shared" si="2"/>
        <v>0</v>
      </c>
      <c r="I19" s="131" t="s">
        <v>153</v>
      </c>
    </row>
    <row r="20" spans="1:9" x14ac:dyDescent="0.25">
      <c r="A20" s="131"/>
      <c r="B20" s="131"/>
      <c r="C20" s="131"/>
      <c r="D20" s="131"/>
      <c r="E20" s="131"/>
      <c r="F20" s="131"/>
      <c r="G20" s="131"/>
      <c r="H20" s="131"/>
      <c r="I20" s="13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9</vt:i4>
      </vt:variant>
    </vt:vector>
  </HeadingPairs>
  <TitlesOfParts>
    <vt:vector size="27" baseType="lpstr">
      <vt:lpstr>Informações</vt:lpstr>
      <vt:lpstr>Resumo</vt:lpstr>
      <vt:lpstr>Jardineiro</vt:lpstr>
      <vt:lpstr>Aux. Jardim</vt:lpstr>
      <vt:lpstr>Equipamentos</vt:lpstr>
      <vt:lpstr>EPIs</vt:lpstr>
      <vt:lpstr>Materiais</vt:lpstr>
      <vt:lpstr>Uniformes</vt:lpstr>
      <vt:lpstr>Utensílios</vt:lpstr>
      <vt:lpstr>Servente de Limpeza</vt:lpstr>
      <vt:lpstr>Servente de Limpeza - Banheiro</vt:lpstr>
      <vt:lpstr>Servente de Limpeza - Diária</vt:lpstr>
      <vt:lpstr>Líder</vt:lpstr>
      <vt:lpstr>Copeira</vt:lpstr>
      <vt:lpstr>Jardineiro - Diária</vt:lpstr>
      <vt:lpstr>Beneficios</vt:lpstr>
      <vt:lpstr>Tributos - Real</vt:lpstr>
      <vt:lpstr>Tributos - Simples</vt:lpstr>
      <vt:lpstr>'Aux. Jardim'!Area_de_impressao</vt:lpstr>
      <vt:lpstr>Copeira!Area_de_impressao</vt:lpstr>
      <vt:lpstr>Jardineiro!Area_de_impressao</vt:lpstr>
      <vt:lpstr>'Jardineiro - Diária'!Area_de_impressao</vt:lpstr>
      <vt:lpstr>Líder!Area_de_impressao</vt:lpstr>
      <vt:lpstr>'Servente de Limpeza'!Area_de_impressao</vt:lpstr>
      <vt:lpstr>'Servente de Limpeza - Banheiro'!Area_de_impressao</vt:lpstr>
      <vt:lpstr>'Servente de Limpeza - Diária'!Area_de_impressao</vt:lpstr>
      <vt:lpstr>'Tributos - Real'!Area_de_impressao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Nathanne Antonia S. de C. Conceição</dc:creator>
  <cp:lastModifiedBy>SENARMT | Thayla Joana Schenberger</cp:lastModifiedBy>
  <cp:lastPrinted>2022-07-18T14:34:59Z</cp:lastPrinted>
  <dcterms:created xsi:type="dcterms:W3CDTF">2021-06-15T12:28:13Z</dcterms:created>
  <dcterms:modified xsi:type="dcterms:W3CDTF">2022-07-18T14:55:12Z</dcterms:modified>
</cp:coreProperties>
</file>