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yla.schenberger\Desktop\"/>
    </mc:Choice>
  </mc:AlternateContent>
  <bookViews>
    <workbookView xWindow="0" yWindow="0" windowWidth="16680" windowHeight="7470" tabRatio="846" activeTab="1"/>
  </bookViews>
  <sheets>
    <sheet name="Informações" sheetId="15" r:id="rId1"/>
    <sheet name="Resumo" sheetId="11" r:id="rId2"/>
    <sheet name="Vigilante Diurno" sheetId="1" r:id="rId3"/>
    <sheet name="Vigilante Diurno - Diária" sheetId="17" state="hidden" r:id="rId4"/>
    <sheet name="Vigilante Noturno" sheetId="10" r:id="rId5"/>
    <sheet name="Vigilante Noturno - Ronda" sheetId="21" state="hidden" r:id="rId6"/>
    <sheet name="Vigilante Diurno - Diária ronda" sheetId="16" state="hidden" r:id="rId7"/>
    <sheet name="Vigilante Noturno - Diária" sheetId="18" state="hidden" r:id="rId8"/>
    <sheet name="Vigilante Noturno - Diária Rond" sheetId="19" state="hidden" r:id="rId9"/>
    <sheet name="Beneficios" sheetId="9" r:id="rId10"/>
    <sheet name="Uniformes" sheetId="6" r:id="rId11"/>
    <sheet name="EPI's" sheetId="20" r:id="rId12"/>
    <sheet name="Equipamentos" sheetId="7" r:id="rId13"/>
    <sheet name="Materiais" sheetId="8" r:id="rId14"/>
    <sheet name="Tributos - Real" sheetId="13" r:id="rId15"/>
    <sheet name="Tributos - Simples" sheetId="14" r:id="rId16"/>
  </sheets>
  <definedNames>
    <definedName name="_xlnm.Print_Area" localSheetId="0">#REF!</definedName>
    <definedName name="_xlnm.Print_Area" localSheetId="14">'Tributos - Real'!$A$1:$F$38</definedName>
    <definedName name="_xlnm.Print_Area" localSheetId="2">'Vigilante Diurno'!$A$1:$E$159</definedName>
    <definedName name="_xlnm.Print_Area" localSheetId="3">'Vigilante Diurno - Diária'!$A$1:$E$159</definedName>
    <definedName name="_xlnm.Print_Area" localSheetId="6">'Vigilante Diurno - Diária ronda'!$A$1:$E$159</definedName>
    <definedName name="_xlnm.Print_Area" localSheetId="4">'Vigilante Noturno'!$A$1:$E$159</definedName>
    <definedName name="_xlnm.Print_Area" localSheetId="7">'Vigilante Noturno - Diária'!$A$1:$E$159</definedName>
    <definedName name="_xlnm.Print_Area" localSheetId="8">'Vigilante Noturno - Diária Rond'!$A$1:$E$159</definedName>
    <definedName name="_xlnm.Print_Area" localSheetId="5">'Vigilante Noturno - Ronda'!$A$1:$E$159</definedName>
    <definedName name="_xlnm.Print_Area">#REF!</definedName>
    <definedName name="Excel_BuiltIn_Print_Area_1" localSheetId="0">#REF!</definedName>
    <definedName name="Excel_BuiltIn_Print_Area_1" localSheetId="3">#REF!</definedName>
    <definedName name="Excel_BuiltIn_Print_Area_1" localSheetId="6">#REF!</definedName>
    <definedName name="Excel_BuiltIn_Print_Area_1" localSheetId="7">#REF!</definedName>
    <definedName name="Excel_BuiltIn_Print_Area_1" localSheetId="8">#REF!</definedName>
    <definedName name="Excel_BuiltIn_Print_Area_1" localSheetId="5">#REF!</definedName>
    <definedName name="Excel_BuiltIn_Print_Area_1">#REF!</definedName>
    <definedName name="Excel_BuiltIn_Print_Area_2" localSheetId="0">#REF!</definedName>
    <definedName name="Excel_BuiltIn_Print_Area_2" localSheetId="3">#REF!</definedName>
    <definedName name="Excel_BuiltIn_Print_Area_2" localSheetId="6">#REF!</definedName>
    <definedName name="Excel_BuiltIn_Print_Area_2" localSheetId="7">#REF!</definedName>
    <definedName name="Excel_BuiltIn_Print_Area_2" localSheetId="8">#REF!</definedName>
    <definedName name="Excel_BuiltIn_Print_Area_2" localSheetId="5">#REF!</definedName>
    <definedName name="Excel_BuiltIn_Print_Area_2">#REF!</definedName>
    <definedName name="Jardineiro" localSheetId="0">#REF!</definedName>
    <definedName name="Jardineiro" localSheetId="3">#REF!</definedName>
    <definedName name="Jardineiro" localSheetId="6">#REF!</definedName>
    <definedName name="Jardineiro" localSheetId="7">#REF!</definedName>
    <definedName name="Jardineiro" localSheetId="8">#REF!</definedName>
    <definedName name="Jardineiro" localSheetId="5">#REF!</definedName>
    <definedName name="Jardineiro">#REF!</definedName>
    <definedName name="Print_Area_1" localSheetId="0">#REF!</definedName>
    <definedName name="Print_Area_1" localSheetId="3">#REF!</definedName>
    <definedName name="Print_Area_1" localSheetId="6">#REF!</definedName>
    <definedName name="Print_Area_1" localSheetId="7">#REF!</definedName>
    <definedName name="Print_Area_1" localSheetId="8">#REF!</definedName>
    <definedName name="Print_Area_1" localSheetId="5">#REF!</definedName>
    <definedName name="Print_Area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1" l="1"/>
  <c r="H6" i="11"/>
  <c r="E6" i="11"/>
  <c r="E8" i="11" l="1"/>
  <c r="H8" i="11"/>
  <c r="E7" i="11"/>
  <c r="H7" i="11"/>
  <c r="E5" i="11"/>
  <c r="C143" i="21" l="1"/>
  <c r="C140" i="21"/>
  <c r="C139" i="21"/>
  <c r="C137" i="21" s="1"/>
  <c r="C103" i="21"/>
  <c r="C102" i="21"/>
  <c r="C101" i="21"/>
  <c r="C100" i="21"/>
  <c r="C99" i="21"/>
  <c r="C87" i="21"/>
  <c r="C84" i="21"/>
  <c r="C85" i="21" s="1"/>
  <c r="D65" i="21"/>
  <c r="D64" i="21"/>
  <c r="C64" i="21"/>
  <c r="D63" i="21"/>
  <c r="C63" i="21"/>
  <c r="D62" i="21"/>
  <c r="D69" i="21" s="1"/>
  <c r="D77" i="21" s="1"/>
  <c r="C54" i="21"/>
  <c r="C53" i="21"/>
  <c r="C52" i="21"/>
  <c r="C51" i="21"/>
  <c r="C49" i="21"/>
  <c r="C56" i="21" s="1"/>
  <c r="C88" i="21" s="1"/>
  <c r="C41" i="21"/>
  <c r="C40" i="21"/>
  <c r="C98" i="21" s="1"/>
  <c r="C39" i="21"/>
  <c r="D29" i="21"/>
  <c r="C29" i="21"/>
  <c r="D27" i="21"/>
  <c r="D26" i="21"/>
  <c r="C17" i="21"/>
  <c r="E2" i="7"/>
  <c r="E3" i="7"/>
  <c r="E4" i="7"/>
  <c r="E5" i="7"/>
  <c r="E7" i="8"/>
  <c r="F7" i="8" s="1"/>
  <c r="E5" i="8"/>
  <c r="F5" i="8" s="1"/>
  <c r="E6" i="8"/>
  <c r="F6" i="8" s="1"/>
  <c r="E4" i="8"/>
  <c r="F4" i="8" s="1"/>
  <c r="E3" i="8"/>
  <c r="F3" i="8" s="1"/>
  <c r="E11" i="20"/>
  <c r="F11" i="20" s="1"/>
  <c r="E10" i="20"/>
  <c r="F10" i="20" s="1"/>
  <c r="E9" i="20"/>
  <c r="F9" i="20" s="1"/>
  <c r="E8" i="20"/>
  <c r="F8" i="20" s="1"/>
  <c r="E7" i="20"/>
  <c r="F7" i="20" s="1"/>
  <c r="E6" i="20"/>
  <c r="F6" i="20" s="1"/>
  <c r="E5" i="20"/>
  <c r="F5" i="20" s="1"/>
  <c r="E4" i="20"/>
  <c r="F4" i="20" s="1"/>
  <c r="E3" i="20"/>
  <c r="F3" i="20" s="1"/>
  <c r="E2" i="20"/>
  <c r="F2" i="20" s="1"/>
  <c r="D128" i="10" l="1"/>
  <c r="D128" i="1"/>
  <c r="D28" i="21"/>
  <c r="D31" i="21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D150" i="21" l="1"/>
  <c r="D41" i="21"/>
  <c r="D40" i="21"/>
  <c r="D110" i="21"/>
  <c r="D111" i="21" s="1"/>
  <c r="D118" i="21" s="1"/>
  <c r="D39" i="21"/>
  <c r="D42" i="21" s="1"/>
  <c r="D75" i="21" s="1"/>
  <c r="D85" i="21" s="1"/>
  <c r="H2" i="7"/>
  <c r="I2" i="7" s="1"/>
  <c r="D127" i="1" s="1"/>
  <c r="H3" i="7"/>
  <c r="I3" i="7" s="1"/>
  <c r="H4" i="7"/>
  <c r="I4" i="7" s="1"/>
  <c r="H5" i="7"/>
  <c r="I5" i="7" s="1"/>
  <c r="D127" i="21"/>
  <c r="E2" i="8"/>
  <c r="F2" i="8" s="1"/>
  <c r="E3" i="6"/>
  <c r="F3" i="6" s="1"/>
  <c r="E4" i="6"/>
  <c r="F4" i="6" s="1"/>
  <c r="E5" i="6"/>
  <c r="F5" i="6" s="1"/>
  <c r="E6" i="6"/>
  <c r="F6" i="6" s="1"/>
  <c r="E7" i="6"/>
  <c r="F7" i="6" s="1"/>
  <c r="E8" i="6"/>
  <c r="F8" i="6" s="1"/>
  <c r="E9" i="6"/>
  <c r="F9" i="6" s="1"/>
  <c r="E10" i="6"/>
  <c r="F10" i="6" s="1"/>
  <c r="E2" i="6"/>
  <c r="F2" i="6" s="1"/>
  <c r="D125" i="1" l="1"/>
  <c r="D125" i="21"/>
  <c r="D126" i="1"/>
  <c r="D126" i="21"/>
  <c r="D49" i="21"/>
  <c r="D88" i="21"/>
  <c r="D87" i="21"/>
  <c r="D48" i="21"/>
  <c r="D51" i="21"/>
  <c r="D52" i="21"/>
  <c r="D54" i="21"/>
  <c r="D84" i="21"/>
  <c r="D53" i="21"/>
  <c r="D86" i="21"/>
  <c r="D55" i="21"/>
  <c r="D89" i="21"/>
  <c r="D50" i="21"/>
  <c r="D67" i="19"/>
  <c r="D67" i="16"/>
  <c r="D65" i="19"/>
  <c r="D64" i="19"/>
  <c r="C64" i="19"/>
  <c r="D63" i="19"/>
  <c r="C63" i="19"/>
  <c r="D65" i="18"/>
  <c r="D64" i="18"/>
  <c r="C64" i="18"/>
  <c r="D63" i="18"/>
  <c r="C63" i="18"/>
  <c r="D65" i="10"/>
  <c r="D64" i="10"/>
  <c r="C64" i="10"/>
  <c r="D63" i="10"/>
  <c r="C63" i="10"/>
  <c r="D65" i="16"/>
  <c r="D64" i="16"/>
  <c r="C64" i="16"/>
  <c r="D63" i="16"/>
  <c r="C63" i="16"/>
  <c r="D65" i="17"/>
  <c r="D64" i="17"/>
  <c r="C64" i="17"/>
  <c r="D63" i="17"/>
  <c r="C63" i="17"/>
  <c r="F5" i="9"/>
  <c r="D64" i="1"/>
  <c r="F4" i="9"/>
  <c r="D110" i="19"/>
  <c r="C17" i="19"/>
  <c r="C17" i="18"/>
  <c r="C17" i="10"/>
  <c r="C17" i="16"/>
  <c r="C17" i="17"/>
  <c r="C17" i="1"/>
  <c r="C143" i="19"/>
  <c r="C140" i="19"/>
  <c r="C139" i="19"/>
  <c r="C137" i="19" s="1"/>
  <c r="D126" i="19"/>
  <c r="D125" i="19"/>
  <c r="C103" i="19"/>
  <c r="C102" i="19"/>
  <c r="C101" i="19"/>
  <c r="C100" i="19"/>
  <c r="C99" i="19"/>
  <c r="C87" i="19"/>
  <c r="C84" i="19"/>
  <c r="C85" i="19" s="1"/>
  <c r="C54" i="19"/>
  <c r="C53" i="19"/>
  <c r="C52" i="19"/>
  <c r="C51" i="19"/>
  <c r="C49" i="19"/>
  <c r="C56" i="19" s="1"/>
  <c r="C88" i="19" s="1"/>
  <c r="C41" i="19"/>
  <c r="C40" i="19"/>
  <c r="C98" i="19" s="1"/>
  <c r="C39" i="19"/>
  <c r="C29" i="19"/>
  <c r="D27" i="19"/>
  <c r="D26" i="19"/>
  <c r="D29" i="19" s="1"/>
  <c r="C143" i="18"/>
  <c r="C140" i="18"/>
  <c r="C139" i="18"/>
  <c r="C137" i="18" s="1"/>
  <c r="D126" i="18"/>
  <c r="D125" i="18"/>
  <c r="C103" i="18"/>
  <c r="C102" i="18"/>
  <c r="C101" i="18"/>
  <c r="C100" i="18"/>
  <c r="C99" i="18"/>
  <c r="C87" i="18"/>
  <c r="C85" i="18"/>
  <c r="C84" i="18"/>
  <c r="C54" i="18"/>
  <c r="C53" i="18"/>
  <c r="C52" i="18"/>
  <c r="C51" i="18"/>
  <c r="C49" i="18"/>
  <c r="C41" i="18"/>
  <c r="C40" i="18"/>
  <c r="C98" i="18" s="1"/>
  <c r="C39" i="18"/>
  <c r="C29" i="18"/>
  <c r="D27" i="18"/>
  <c r="D26" i="18"/>
  <c r="D28" i="18" s="1"/>
  <c r="C143" i="17"/>
  <c r="C140" i="17"/>
  <c r="C139" i="17"/>
  <c r="D126" i="17"/>
  <c r="D125" i="17"/>
  <c r="C103" i="17"/>
  <c r="C102" i="17"/>
  <c r="C101" i="17"/>
  <c r="C100" i="17"/>
  <c r="C99" i="17"/>
  <c r="C87" i="17"/>
  <c r="C84" i="17"/>
  <c r="C85" i="17" s="1"/>
  <c r="C54" i="17"/>
  <c r="C53" i="17"/>
  <c r="C52" i="17"/>
  <c r="C51" i="17"/>
  <c r="C49" i="17"/>
  <c r="C56" i="17" s="1"/>
  <c r="C88" i="17" s="1"/>
  <c r="C41" i="17"/>
  <c r="C40" i="17"/>
  <c r="C98" i="17" s="1"/>
  <c r="C39" i="17"/>
  <c r="D27" i="17"/>
  <c r="D26" i="17"/>
  <c r="C143" i="16"/>
  <c r="C140" i="16"/>
  <c r="C139" i="16"/>
  <c r="C137" i="16" s="1"/>
  <c r="D126" i="16"/>
  <c r="D125" i="16"/>
  <c r="C103" i="16"/>
  <c r="C102" i="16"/>
  <c r="C101" i="16"/>
  <c r="C100" i="16"/>
  <c r="C99" i="16"/>
  <c r="C87" i="16"/>
  <c r="C84" i="16"/>
  <c r="C85" i="16" s="1"/>
  <c r="C54" i="16"/>
  <c r="C53" i="16"/>
  <c r="C52" i="16"/>
  <c r="C51" i="16"/>
  <c r="C49" i="16"/>
  <c r="C41" i="16"/>
  <c r="C40" i="16"/>
  <c r="C98" i="16" s="1"/>
  <c r="C39" i="16"/>
  <c r="D27" i="16"/>
  <c r="D26" i="16"/>
  <c r="C54" i="10"/>
  <c r="C53" i="10"/>
  <c r="C52" i="10"/>
  <c r="C51" i="10"/>
  <c r="C49" i="10"/>
  <c r="C29" i="10"/>
  <c r="C54" i="1"/>
  <c r="C53" i="1"/>
  <c r="C52" i="1"/>
  <c r="C51" i="1"/>
  <c r="C49" i="1"/>
  <c r="D56" i="21" l="1"/>
  <c r="D76" i="21" s="1"/>
  <c r="D78" i="21" s="1"/>
  <c r="D90" i="21"/>
  <c r="D152" i="21" s="1"/>
  <c r="C137" i="17"/>
  <c r="D65" i="1"/>
  <c r="D29" i="18"/>
  <c r="D31" i="18" s="1"/>
  <c r="C56" i="18"/>
  <c r="C88" i="18" s="1"/>
  <c r="C56" i="16"/>
  <c r="C88" i="16" s="1"/>
  <c r="D31" i="16"/>
  <c r="D39" i="16" s="1"/>
  <c r="D31" i="17"/>
  <c r="D41" i="17" s="1"/>
  <c r="D28" i="19"/>
  <c r="D31" i="19" s="1"/>
  <c r="D40" i="17"/>
  <c r="D39" i="17"/>
  <c r="D89" i="17"/>
  <c r="D110" i="17"/>
  <c r="D111" i="17" s="1"/>
  <c r="D118" i="17" s="1"/>
  <c r="D150" i="16"/>
  <c r="D41" i="16"/>
  <c r="D89" i="16"/>
  <c r="D40" i="16"/>
  <c r="B2" i="14"/>
  <c r="B35" i="13"/>
  <c r="C35" i="13" s="1"/>
  <c r="E35" i="13" s="1"/>
  <c r="F35" i="13" s="1"/>
  <c r="A35" i="13"/>
  <c r="B34" i="13"/>
  <c r="C34" i="13" s="1"/>
  <c r="E34" i="13" s="1"/>
  <c r="F34" i="13" s="1"/>
  <c r="A34" i="13"/>
  <c r="B33" i="13"/>
  <c r="C33" i="13" s="1"/>
  <c r="E33" i="13" s="1"/>
  <c r="F33" i="13" s="1"/>
  <c r="A33" i="13"/>
  <c r="B32" i="13"/>
  <c r="C32" i="13" s="1"/>
  <c r="E32" i="13" s="1"/>
  <c r="F32" i="13" s="1"/>
  <c r="A32" i="13"/>
  <c r="C31" i="13"/>
  <c r="E31" i="13" s="1"/>
  <c r="F31" i="13" s="1"/>
  <c r="B31" i="13"/>
  <c r="A31" i="13"/>
  <c r="C30" i="13"/>
  <c r="E30" i="13" s="1"/>
  <c r="F30" i="13" s="1"/>
  <c r="B30" i="13"/>
  <c r="A30" i="13"/>
  <c r="C29" i="13"/>
  <c r="E29" i="13" s="1"/>
  <c r="F29" i="13" s="1"/>
  <c r="B29" i="13"/>
  <c r="A29" i="13"/>
  <c r="B28" i="13"/>
  <c r="C28" i="13" s="1"/>
  <c r="E28" i="13" s="1"/>
  <c r="F28" i="13" s="1"/>
  <c r="A28" i="13"/>
  <c r="B27" i="13"/>
  <c r="C27" i="13" s="1"/>
  <c r="E27" i="13" s="1"/>
  <c r="F27" i="13" s="1"/>
  <c r="A27" i="13"/>
  <c r="B26" i="13"/>
  <c r="C26" i="13" s="1"/>
  <c r="E26" i="13" s="1"/>
  <c r="F26" i="13" s="1"/>
  <c r="A26" i="13"/>
  <c r="B25" i="13"/>
  <c r="C25" i="13" s="1"/>
  <c r="E25" i="13" s="1"/>
  <c r="F25" i="13" s="1"/>
  <c r="A25" i="13"/>
  <c r="B24" i="13"/>
  <c r="C24" i="13" s="1"/>
  <c r="E24" i="13" s="1"/>
  <c r="F24" i="13" s="1"/>
  <c r="A24" i="13"/>
  <c r="E18" i="13"/>
  <c r="F18" i="13" s="1"/>
  <c r="C18" i="13"/>
  <c r="C17" i="13"/>
  <c r="E17" i="13" s="1"/>
  <c r="F17" i="13" s="1"/>
  <c r="C16" i="13"/>
  <c r="E16" i="13" s="1"/>
  <c r="F16" i="13" s="1"/>
  <c r="C15" i="13"/>
  <c r="E15" i="13" s="1"/>
  <c r="F15" i="13" s="1"/>
  <c r="C14" i="13"/>
  <c r="E14" i="13" s="1"/>
  <c r="F14" i="13" s="1"/>
  <c r="C13" i="13"/>
  <c r="E13" i="13" s="1"/>
  <c r="F13" i="13" s="1"/>
  <c r="E12" i="13"/>
  <c r="F12" i="13" s="1"/>
  <c r="C12" i="13"/>
  <c r="E11" i="13"/>
  <c r="F11" i="13" s="1"/>
  <c r="C11" i="13"/>
  <c r="F10" i="13"/>
  <c r="C10" i="13"/>
  <c r="E9" i="13"/>
  <c r="F9" i="13" s="1"/>
  <c r="C9" i="13"/>
  <c r="E8" i="13"/>
  <c r="F8" i="13" s="1"/>
  <c r="C8" i="13"/>
  <c r="E7" i="13"/>
  <c r="F7" i="13" s="1"/>
  <c r="C7" i="13"/>
  <c r="D151" i="21" l="1"/>
  <c r="D98" i="21"/>
  <c r="D100" i="21"/>
  <c r="D102" i="21"/>
  <c r="D103" i="21"/>
  <c r="D99" i="21"/>
  <c r="D101" i="21"/>
  <c r="D41" i="18"/>
  <c r="D40" i="18"/>
  <c r="D39" i="18"/>
  <c r="D42" i="18" s="1"/>
  <c r="D150" i="18"/>
  <c r="D110" i="18"/>
  <c r="D111" i="18" s="1"/>
  <c r="D118" i="18" s="1"/>
  <c r="D110" i="16"/>
  <c r="D111" i="16" s="1"/>
  <c r="D118" i="16" s="1"/>
  <c r="D150" i="17"/>
  <c r="D42" i="16"/>
  <c r="D150" i="19"/>
  <c r="D41" i="19"/>
  <c r="D111" i="19"/>
  <c r="D118" i="19" s="1"/>
  <c r="D40" i="19"/>
  <c r="D39" i="19"/>
  <c r="D42" i="17"/>
  <c r="B8" i="14"/>
  <c r="B3" i="14"/>
  <c r="B5" i="14" s="1"/>
  <c r="B7" i="14" s="1"/>
  <c r="B4" i="14"/>
  <c r="F19" i="13"/>
  <c r="F36" i="13"/>
  <c r="D104" i="21" l="1"/>
  <c r="D117" i="21" s="1"/>
  <c r="D119" i="21" s="1"/>
  <c r="D75" i="16"/>
  <c r="D48" i="16"/>
  <c r="D52" i="16"/>
  <c r="D51" i="16"/>
  <c r="D53" i="16"/>
  <c r="D49" i="16"/>
  <c r="D54" i="16"/>
  <c r="D55" i="16"/>
  <c r="D50" i="16"/>
  <c r="D42" i="19"/>
  <c r="D75" i="18"/>
  <c r="D48" i="18"/>
  <c r="D55" i="18"/>
  <c r="D89" i="18"/>
  <c r="D54" i="18"/>
  <c r="D52" i="18"/>
  <c r="D51" i="18"/>
  <c r="D49" i="18"/>
  <c r="D50" i="18"/>
  <c r="D53" i="18"/>
  <c r="D75" i="17"/>
  <c r="D48" i="17"/>
  <c r="D54" i="17"/>
  <c r="D53" i="17"/>
  <c r="D50" i="17"/>
  <c r="D49" i="17"/>
  <c r="D51" i="17"/>
  <c r="D55" i="17"/>
  <c r="D52" i="17"/>
  <c r="C140" i="10"/>
  <c r="C140" i="1"/>
  <c r="B6" i="14"/>
  <c r="C143" i="1"/>
  <c r="C143" i="10"/>
  <c r="F45" i="13"/>
  <c r="D153" i="21" l="1"/>
  <c r="D56" i="16"/>
  <c r="D76" i="16" s="1"/>
  <c r="D87" i="16"/>
  <c r="D84" i="16"/>
  <c r="D88" i="16"/>
  <c r="D86" i="16"/>
  <c r="D85" i="16"/>
  <c r="D90" i="16" s="1"/>
  <c r="D152" i="16" s="1"/>
  <c r="D75" i="19"/>
  <c r="D48" i="19"/>
  <c r="D55" i="19"/>
  <c r="D53" i="19"/>
  <c r="D54" i="19"/>
  <c r="D49" i="19"/>
  <c r="D52" i="19"/>
  <c r="D50" i="19"/>
  <c r="D89" i="19"/>
  <c r="D51" i="19"/>
  <c r="D56" i="18"/>
  <c r="D76" i="18" s="1"/>
  <c r="D86" i="18"/>
  <c r="D85" i="18"/>
  <c r="D84" i="18"/>
  <c r="D87" i="18"/>
  <c r="D88" i="18"/>
  <c r="D56" i="17"/>
  <c r="D76" i="17" s="1"/>
  <c r="D84" i="17"/>
  <c r="D86" i="17"/>
  <c r="D88" i="17"/>
  <c r="D85" i="17"/>
  <c r="D87" i="17"/>
  <c r="C139" i="1"/>
  <c r="C139" i="10"/>
  <c r="D27" i="1"/>
  <c r="C103" i="10"/>
  <c r="C102" i="10"/>
  <c r="C101" i="10"/>
  <c r="C100" i="10"/>
  <c r="C99" i="10"/>
  <c r="C103" i="1"/>
  <c r="C102" i="1"/>
  <c r="C101" i="1"/>
  <c r="C100" i="1"/>
  <c r="C99" i="1"/>
  <c r="C87" i="10"/>
  <c r="C85" i="10"/>
  <c r="C84" i="10"/>
  <c r="D26" i="10"/>
  <c r="D27" i="10"/>
  <c r="C87" i="1"/>
  <c r="C84" i="1"/>
  <c r="C85" i="1" s="1"/>
  <c r="D129" i="21" l="1"/>
  <c r="D127" i="17"/>
  <c r="D129" i="17" s="1"/>
  <c r="D154" i="17" s="1"/>
  <c r="D127" i="18"/>
  <c r="D129" i="18" s="1"/>
  <c r="D154" i="18" s="1"/>
  <c r="D127" i="16"/>
  <c r="D129" i="16" s="1"/>
  <c r="D154" i="16" s="1"/>
  <c r="D127" i="19"/>
  <c r="D129" i="19" s="1"/>
  <c r="D154" i="19" s="1"/>
  <c r="D127" i="10"/>
  <c r="D29" i="10"/>
  <c r="D28" i="10"/>
  <c r="D56" i="19"/>
  <c r="D76" i="19" s="1"/>
  <c r="D88" i="19"/>
  <c r="D85" i="19"/>
  <c r="D86" i="19"/>
  <c r="D87" i="19"/>
  <c r="D84" i="19"/>
  <c r="D90" i="18"/>
  <c r="D152" i="18" s="1"/>
  <c r="D90" i="17"/>
  <c r="D152" i="17" s="1"/>
  <c r="H5" i="11"/>
  <c r="D154" i="21" l="1"/>
  <c r="D155" i="21" s="1"/>
  <c r="D135" i="21"/>
  <c r="D90" i="19"/>
  <c r="D152" i="19" s="1"/>
  <c r="C137" i="10"/>
  <c r="D126" i="10"/>
  <c r="D125" i="10"/>
  <c r="C98" i="10"/>
  <c r="C56" i="10"/>
  <c r="C88" i="10" s="1"/>
  <c r="C41" i="10"/>
  <c r="C40" i="10"/>
  <c r="C39" i="10"/>
  <c r="D136" i="21" l="1"/>
  <c r="D143" i="21" s="1"/>
  <c r="D129" i="10"/>
  <c r="D154" i="10" s="1"/>
  <c r="D31" i="10"/>
  <c r="C40" i="1"/>
  <c r="D140" i="21" l="1"/>
  <c r="D142" i="21"/>
  <c r="D139" i="21"/>
  <c r="D141" i="21"/>
  <c r="D39" i="10"/>
  <c r="D150" i="10"/>
  <c r="D110" i="10"/>
  <c r="D111" i="10" s="1"/>
  <c r="D118" i="10" s="1"/>
  <c r="D40" i="10"/>
  <c r="D41" i="10"/>
  <c r="F3" i="9"/>
  <c r="F2" i="9"/>
  <c r="D137" i="21" l="1"/>
  <c r="D144" i="21" s="1"/>
  <c r="D156" i="21" s="1"/>
  <c r="D157" i="21" s="1"/>
  <c r="D158" i="21" s="1"/>
  <c r="D159" i="21" s="1"/>
  <c r="D62" i="10"/>
  <c r="D62" i="17"/>
  <c r="D62" i="18"/>
  <c r="D62" i="19"/>
  <c r="D62" i="16"/>
  <c r="D42" i="10"/>
  <c r="D55" i="10" s="1"/>
  <c r="D63" i="1"/>
  <c r="D62" i="1"/>
  <c r="D69" i="18" l="1"/>
  <c r="D77" i="18" s="1"/>
  <c r="D78" i="18" s="1"/>
  <c r="D98" i="18" s="1"/>
  <c r="D69" i="19"/>
  <c r="D77" i="19" s="1"/>
  <c r="D78" i="19" s="1"/>
  <c r="D101" i="19" s="1"/>
  <c r="D69" i="16"/>
  <c r="D77" i="16" s="1"/>
  <c r="D78" i="16" s="1"/>
  <c r="D99" i="16" s="1"/>
  <c r="D69" i="17"/>
  <c r="D77" i="17" s="1"/>
  <c r="D78" i="17" s="1"/>
  <c r="D98" i="17" s="1"/>
  <c r="D49" i="10"/>
  <c r="D48" i="10"/>
  <c r="D52" i="10"/>
  <c r="D75" i="10"/>
  <c r="D54" i="10"/>
  <c r="D89" i="10"/>
  <c r="D50" i="10"/>
  <c r="D51" i="10"/>
  <c r="D53" i="10"/>
  <c r="D69" i="10"/>
  <c r="D77" i="10" s="1"/>
  <c r="C56" i="1"/>
  <c r="C88" i="1" s="1"/>
  <c r="D151" i="18" l="1"/>
  <c r="D100" i="18"/>
  <c r="D103" i="18"/>
  <c r="D99" i="18"/>
  <c r="D99" i="19"/>
  <c r="D100" i="19"/>
  <c r="D98" i="19"/>
  <c r="D151" i="19"/>
  <c r="D101" i="18"/>
  <c r="D103" i="19"/>
  <c r="D102" i="18"/>
  <c r="D102" i="19"/>
  <c r="D100" i="16"/>
  <c r="D151" i="16"/>
  <c r="D98" i="16"/>
  <c r="D101" i="16"/>
  <c r="D103" i="16"/>
  <c r="D102" i="16"/>
  <c r="D101" i="17"/>
  <c r="D151" i="17"/>
  <c r="D99" i="17"/>
  <c r="D100" i="17"/>
  <c r="D103" i="17"/>
  <c r="D102" i="17"/>
  <c r="D56" i="10"/>
  <c r="D76" i="10" s="1"/>
  <c r="D78" i="10" s="1"/>
  <c r="D86" i="10"/>
  <c r="D85" i="10"/>
  <c r="D84" i="10"/>
  <c r="D88" i="10"/>
  <c r="D87" i="10"/>
  <c r="C63" i="1"/>
  <c r="C64" i="1"/>
  <c r="D104" i="16" l="1"/>
  <c r="D117" i="16" s="1"/>
  <c r="D119" i="16" s="1"/>
  <c r="D135" i="16" s="1"/>
  <c r="D136" i="16" s="1"/>
  <c r="D139" i="16" s="1"/>
  <c r="D104" i="19"/>
  <c r="D117" i="19" s="1"/>
  <c r="D119" i="19" s="1"/>
  <c r="D135" i="19" s="1"/>
  <c r="D136" i="19" s="1"/>
  <c r="D104" i="18"/>
  <c r="D117" i="18" s="1"/>
  <c r="D119" i="18" s="1"/>
  <c r="D153" i="18" s="1"/>
  <c r="D155" i="18" s="1"/>
  <c r="D104" i="17"/>
  <c r="D117" i="17" s="1"/>
  <c r="D119" i="17" s="1"/>
  <c r="D153" i="17" s="1"/>
  <c r="D155" i="17" s="1"/>
  <c r="D90" i="10"/>
  <c r="D152" i="10" s="1"/>
  <c r="D151" i="10"/>
  <c r="C41" i="1"/>
  <c r="D135" i="18" l="1"/>
  <c r="D136" i="18" s="1"/>
  <c r="D139" i="18" s="1"/>
  <c r="D153" i="16"/>
  <c r="D155" i="16" s="1"/>
  <c r="D153" i="19"/>
  <c r="D155" i="19" s="1"/>
  <c r="D135" i="17"/>
  <c r="D136" i="17" s="1"/>
  <c r="D140" i="17" s="1"/>
  <c r="D139" i="19"/>
  <c r="D141" i="19"/>
  <c r="D142" i="16"/>
  <c r="D140" i="19"/>
  <c r="D143" i="16"/>
  <c r="D141" i="16"/>
  <c r="D142" i="19"/>
  <c r="D140" i="16"/>
  <c r="D143" i="19"/>
  <c r="D101" i="10"/>
  <c r="D99" i="10"/>
  <c r="D103" i="10"/>
  <c r="D102" i="10"/>
  <c r="D98" i="10"/>
  <c r="D100" i="10"/>
  <c r="D137" i="16" l="1"/>
  <c r="D144" i="16" s="1"/>
  <c r="D156" i="16" s="1"/>
  <c r="D157" i="16" s="1"/>
  <c r="D158" i="16" s="1"/>
  <c r="D140" i="18"/>
  <c r="D142" i="18"/>
  <c r="D143" i="18"/>
  <c r="D141" i="18"/>
  <c r="D142" i="17"/>
  <c r="D139" i="17"/>
  <c r="D141" i="17"/>
  <c r="D137" i="19"/>
  <c r="D144" i="19" s="1"/>
  <c r="D156" i="19" s="1"/>
  <c r="D157" i="19" s="1"/>
  <c r="D158" i="19" s="1"/>
  <c r="D143" i="17"/>
  <c r="D104" i="10"/>
  <c r="D117" i="10" s="1"/>
  <c r="D119" i="10" s="1"/>
  <c r="D153" i="10" s="1"/>
  <c r="D155" i="10" s="1"/>
  <c r="C98" i="1"/>
  <c r="D159" i="19" l="1"/>
  <c r="D8" i="11"/>
  <c r="D7" i="11"/>
  <c r="D159" i="16"/>
  <c r="D137" i="17"/>
  <c r="D144" i="17" s="1"/>
  <c r="D156" i="17" s="1"/>
  <c r="D157" i="17" s="1"/>
  <c r="D158" i="17" s="1"/>
  <c r="D159" i="17" s="1"/>
  <c r="D137" i="18"/>
  <c r="D144" i="18" s="1"/>
  <c r="D156" i="18" s="1"/>
  <c r="D157" i="18" s="1"/>
  <c r="D158" i="18" s="1"/>
  <c r="D159" i="18" s="1"/>
  <c r="D135" i="10"/>
  <c r="D136" i="10" s="1"/>
  <c r="D142" i="10" s="1"/>
  <c r="C137" i="1"/>
  <c r="D129" i="1"/>
  <c r="D154" i="1" s="1"/>
  <c r="C39" i="1"/>
  <c r="D26" i="1"/>
  <c r="D31" i="1" s="1"/>
  <c r="D141" i="10" l="1"/>
  <c r="D140" i="10"/>
  <c r="D143" i="10"/>
  <c r="D139" i="10"/>
  <c r="D89" i="1"/>
  <c r="D110" i="1"/>
  <c r="D111" i="1" s="1"/>
  <c r="D118" i="1" s="1"/>
  <c r="D40" i="1"/>
  <c r="D41" i="1"/>
  <c r="D39" i="1"/>
  <c r="D69" i="1"/>
  <c r="D77" i="1" s="1"/>
  <c r="D150" i="1"/>
  <c r="D137" i="10" l="1"/>
  <c r="D144" i="10" s="1"/>
  <c r="D156" i="10" s="1"/>
  <c r="D157" i="10" s="1"/>
  <c r="D42" i="1"/>
  <c r="G7" i="11" l="1"/>
  <c r="I7" i="11" s="1"/>
  <c r="D6" i="11"/>
  <c r="D158" i="10"/>
  <c r="D159" i="10" s="1"/>
  <c r="G6" i="11"/>
  <c r="I6" i="11" s="1"/>
  <c r="G8" i="11"/>
  <c r="I8" i="11" s="1"/>
  <c r="I17" i="11" s="1"/>
  <c r="I18" i="11" s="1"/>
  <c r="D75" i="1"/>
  <c r="D52" i="1"/>
  <c r="D53" i="1"/>
  <c r="D54" i="1"/>
  <c r="D48" i="1"/>
  <c r="D50" i="1"/>
  <c r="D51" i="1"/>
  <c r="D49" i="1"/>
  <c r="D55" i="1"/>
  <c r="D88" i="1" l="1"/>
  <c r="D85" i="1"/>
  <c r="D84" i="1"/>
  <c r="D87" i="1"/>
  <c r="D86" i="1"/>
  <c r="D56" i="1"/>
  <c r="D76" i="1" s="1"/>
  <c r="D78" i="1" s="1"/>
  <c r="D90" i="1" l="1"/>
  <c r="D101" i="1" s="1"/>
  <c r="D151" i="1"/>
  <c r="D152" i="1" l="1"/>
  <c r="D98" i="1"/>
  <c r="D100" i="1"/>
  <c r="D103" i="1"/>
  <c r="D99" i="1"/>
  <c r="D102" i="1"/>
  <c r="D104" i="1" l="1"/>
  <c r="D117" i="1" s="1"/>
  <c r="D119" i="1" s="1"/>
  <c r="D135" i="1" s="1"/>
  <c r="D153" i="1" l="1"/>
  <c r="D155" i="1" s="1"/>
  <c r="D136" i="1"/>
  <c r="D141" i="1" s="1"/>
  <c r="D139" i="1" l="1"/>
  <c r="D140" i="1"/>
  <c r="D143" i="1"/>
  <c r="D142" i="1"/>
  <c r="D137" i="1" l="1"/>
  <c r="D144" i="1" s="1"/>
  <c r="D156" i="1" s="1"/>
  <c r="D157" i="1" s="1"/>
  <c r="D5" i="11" s="1"/>
  <c r="G5" i="11" l="1"/>
  <c r="I5" i="11" s="1"/>
  <c r="I9" i="11" s="1"/>
  <c r="D158" i="1"/>
  <c r="D159" i="1" s="1"/>
  <c r="I15" i="11" l="1"/>
  <c r="I16" i="11" l="1"/>
</calcChain>
</file>

<file path=xl/comments1.xml><?xml version="1.0" encoding="utf-8"?>
<comments xmlns="http://schemas.openxmlformats.org/spreadsheetml/2006/main">
  <authors>
    <author>Nathanne Antonia S. de C. Conceição</author>
  </authors>
  <commentList>
    <comment ref="A5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Conforme Código Tributário do Município onde será prestado o serviço</t>
        </r>
      </text>
    </comment>
  </commentList>
</comments>
</file>

<file path=xl/comments2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3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4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5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6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7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8.xml><?xml version="1.0" encoding="utf-8"?>
<comments xmlns="http://schemas.openxmlformats.org/spreadsheetml/2006/main">
  <authors>
    <author>Nathanne Antonia S. de C. Conceição</author>
  </authors>
  <commentList>
    <comment ref="C50" authorId="0" shapeId="0">
      <text>
        <r>
          <rPr>
            <b/>
            <sz val="9"/>
            <color indexed="81"/>
            <rFont val="Segoe UI"/>
            <family val="2"/>
          </rPr>
          <t xml:space="preserve">Apresentar FAPWeb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84" authorId="0" shapeId="0">
      <text>
        <r>
          <rPr>
            <sz val="9"/>
            <color indexed="81"/>
            <rFont val="Segoe UI"/>
            <family val="2"/>
          </rPr>
          <t xml:space="preserve">Considera o mesmo percentual de estimativa para rescisão adotado pelo TCU.
</t>
        </r>
      </text>
    </comment>
    <comment ref="C86" authorId="0" shapeId="0">
      <text>
        <r>
          <rPr>
            <sz val="9"/>
            <color indexed="81"/>
            <rFont val="Segoe UI"/>
            <charset val="1"/>
          </rPr>
          <t>Conforme IN 05/2017</t>
        </r>
      </text>
    </comment>
    <comment ref="C87" authorId="0" shapeId="0">
      <text>
        <r>
          <rPr>
            <sz val="9"/>
            <color indexed="81"/>
            <rFont val="Segoe UI"/>
            <family val="2"/>
          </rPr>
          <t xml:space="preserve">
Art. 7º, XXI, CF/88,
477, 487 e ss. da CLT</t>
        </r>
      </text>
    </comment>
    <comment ref="C99" authorId="0" shapeId="0">
      <text>
        <r>
          <rPr>
            <sz val="9"/>
            <color indexed="81"/>
            <rFont val="Segoe UI"/>
            <family val="2"/>
          </rPr>
          <t>Considera os mesmos percentuais praticados pelo TCU
Estimativa de 1,4947 ausências por ano, de acordo com a IN 2/2008-MPOG.</t>
        </r>
      </text>
    </comment>
    <comment ref="C100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 mesmo percentual praticado pelo TCU. 
- Estimativa de 1,416% (taxa de natalidade da população brasileira/IBGE) dos empregados
usufruindo 5 dias da licença por ano
</t>
        </r>
      </text>
    </comment>
    <comment ref="C101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{[(100% /30) x 15] / 12} x (nºCAT/População INSS CAT)
Considera a mesma forma de calculo do TCU. Os dados são de 2019, pois do TCU os dados são de 2013.
</t>
        </r>
      </text>
    </comment>
    <comment ref="C10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Considera os mesmos percentuais praticados pelo TCU
- Estimativa de 1,416% (taxa de natalidade da população brasileira/IBGE) de empregadas
usufruindo 4 meses de licença por ano.</t>
        </r>
      </text>
    </comment>
  </commentList>
</comments>
</file>

<file path=xl/comments9.xml><?xml version="1.0" encoding="utf-8"?>
<comments xmlns="http://schemas.openxmlformats.org/spreadsheetml/2006/main">
  <authors>
    <author>Nathanne Antonia S. de C. Conceição</author>
  </authors>
  <commentList>
    <comment ref="E2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Percentual aplicado sobre o salário base do funcionário.</t>
        </r>
      </text>
    </comment>
    <comment ref="E3" authorId="0" shapeId="0">
      <text>
        <r>
          <rPr>
            <b/>
            <sz val="9"/>
            <color indexed="81"/>
            <rFont val="Segoe UI"/>
            <family val="2"/>
          </rPr>
          <t>Nathanne Antonia S. de C. Conceição:</t>
        </r>
        <r>
          <rPr>
            <sz val="9"/>
            <color indexed="81"/>
            <rFont val="Segoe UI"/>
            <family val="2"/>
          </rPr>
          <t xml:space="preserve">
Aplicado sobre o valor mensal do benefício. Percentual definido na CCT
</t>
        </r>
      </text>
    </comment>
  </commentList>
</comments>
</file>

<file path=xl/sharedStrings.xml><?xml version="1.0" encoding="utf-8"?>
<sst xmlns="http://schemas.openxmlformats.org/spreadsheetml/2006/main" count="1999" uniqueCount="283">
  <si>
    <t>PLANILHA DE CUSTOS E FORMAÇÃO DE PREÇOS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</si>
  <si>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</si>
  <si>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</si>
  <si>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</si>
  <si>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</si>
  <si>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</si>
  <si>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</si>
  <si>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</si>
  <si>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</si>
  <si>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</si>
  <si>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</si>
  <si>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</si>
  <si>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</si>
  <si>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</si>
  <si>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G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</si>
  <si>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</si>
  <si>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</si>
  <si>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</si>
  <si>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</si>
  <si>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</si>
  <si>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</si>
  <si>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</si>
  <si>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</si>
  <si>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</si>
  <si>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</si>
  <si>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</si>
  <si>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</si>
  <si>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</si>
  <si>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SESC ou SESI</t>
  </si>
  <si>
    <t>SENAI - SENAC</t>
  </si>
  <si>
    <t>F</t>
  </si>
  <si>
    <t>SEBRAE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</si>
  <si>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</si>
  <si>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</si>
  <si>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</si>
  <si>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</si>
  <si>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</si>
  <si>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</si>
  <si>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</si>
  <si>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</si>
  <si>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</si>
  <si>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</si>
  <si>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</si>
  <si>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</si>
  <si>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</si>
  <si>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</si>
  <si>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</si>
  <si>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</si>
  <si>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</si>
  <si>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</si>
  <si>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</si>
  <si>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</si>
  <si>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</si>
  <si>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</si>
  <si>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</si>
  <si>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</si>
  <si>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</si>
  <si>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</si>
  <si>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</si>
  <si>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</si>
  <si>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</si>
  <si>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</si>
  <si>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</si>
  <si>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</si>
  <si>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</si>
  <si>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</si>
  <si>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</si>
  <si>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</si>
  <si>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</si>
  <si>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</si>
  <si>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C.1. Tributos Federais (especificar)</t>
  </si>
  <si>
    <t>C.2. Tributos Estaduais (especificar)</t>
  </si>
  <si>
    <t>C.3. Tributos Municipais (especificar)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</si>
  <si>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</si>
  <si>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</si>
  <si>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</si>
  <si>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</si>
  <si>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</si>
  <si>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IDENTIFICAÇÃO DOS SERVIÇOS</t>
  </si>
  <si>
    <t>Tipo de Serviço</t>
  </si>
  <si>
    <t>Unidade de medida</t>
  </si>
  <si>
    <t>Quantidade total a contratar</t>
  </si>
  <si>
    <t>POSTO</t>
  </si>
  <si>
    <t>Valor Total Mensal</t>
  </si>
  <si>
    <t>Valor Total Anual</t>
  </si>
  <si>
    <t>Optante pelo Simples Nacional</t>
  </si>
  <si>
    <t>Adicional de Férias</t>
  </si>
  <si>
    <t>PIS</t>
  </si>
  <si>
    <t>COFINS</t>
  </si>
  <si>
    <t>ISS</t>
  </si>
  <si>
    <t>Observações</t>
  </si>
  <si>
    <t>Item</t>
  </si>
  <si>
    <t>Descrição</t>
  </si>
  <si>
    <t>Qtde Anual</t>
  </si>
  <si>
    <t>Valor unitário</t>
  </si>
  <si>
    <t>Valor Total</t>
  </si>
  <si>
    <t>Valor mensal</t>
  </si>
  <si>
    <t>Valor Unitário</t>
  </si>
  <si>
    <t>Qtde por posto</t>
  </si>
  <si>
    <t>Valor total da aquisição</t>
  </si>
  <si>
    <t>Vida útil (Meses)</t>
  </si>
  <si>
    <t>Valor Residual (20%)</t>
  </si>
  <si>
    <t>Valor Depreciável</t>
  </si>
  <si>
    <t>Custo Mensal</t>
  </si>
  <si>
    <t>Nº Processo:</t>
  </si>
  <si>
    <t>Nº Licitação:</t>
  </si>
  <si>
    <t>Data de apresentação da proposta (dia/mês/ano)</t>
  </si>
  <si>
    <t>Município/UF</t>
  </si>
  <si>
    <t>Ano Acordo, Convenção ou Sentença Normativa em Dissídio Coletivo</t>
  </si>
  <si>
    <t>Nº de meses de execução contratual</t>
  </si>
  <si>
    <t>Tipo de serviço (mesmo serviço com características distintas)</t>
  </si>
  <si>
    <t>Classificação Brasileira de Ocupações (CBO)</t>
  </si>
  <si>
    <t>Salário Normativo da Categoria Profissional</t>
  </si>
  <si>
    <t>Categoria profissional (vinculada à execução contratual)</t>
  </si>
  <si>
    <t>Data base da categoria (dia/mês/ano)</t>
  </si>
  <si>
    <t>Tributos</t>
  </si>
  <si>
    <t>Multa do FGTS sobre o Aviso Prévio Indenizado e sobre o Aviso Prévio Trabalhado</t>
  </si>
  <si>
    <t>Vale Transporte</t>
  </si>
  <si>
    <t>Benefício</t>
  </si>
  <si>
    <t>40h</t>
  </si>
  <si>
    <t>12x36</t>
  </si>
  <si>
    <t>Jornada:</t>
  </si>
  <si>
    <t>Qtde de dias</t>
  </si>
  <si>
    <t>Qtde por dia</t>
  </si>
  <si>
    <t>Valor Total no mês</t>
  </si>
  <si>
    <t>Percentual de desconto</t>
  </si>
  <si>
    <t>Base Legal</t>
  </si>
  <si>
    <t>Art. 7º, VIII, CF/88</t>
  </si>
  <si>
    <t>Art. 2°, § 3º, da Lei 11.457, de 16 de março
de 2007.</t>
  </si>
  <si>
    <t>Art. 3º, Inciso I, Decreto 87.043, de 22 de
março de 1982.</t>
  </si>
  <si>
    <t>Anexo V do Decreto nº 3.048/1999 para o RAT</t>
  </si>
  <si>
    <t>SAT/FAP/RAT Ajustado</t>
  </si>
  <si>
    <t>Art. 30, Lei 8.036, de 11 de maio de 1990</t>
  </si>
  <si>
    <t>Art. 1º, caput, Decreto-Lei 6.246, de 1944
(SENAI) e art. 4º, caput do Decreto-Lei
8.621, de 1946. (SENAC).</t>
  </si>
  <si>
    <t>Art. 8º, Lei 8.029, de 12 de abril de 1990.</t>
  </si>
  <si>
    <t>Art. 1°, I, 2 c/c art. 3°, ambos do Decreto-Lei 1.146, de 31 de dezembro de 1970.</t>
  </si>
  <si>
    <t>O valor da dedução do vale transporte está de acordo com o art. 4º, parágrafo único da Lei 7.418, de 16 de dezembro de 1985 (desconto máximo de 6% do salário-base)</t>
  </si>
  <si>
    <t>CCT vigente da categoria</t>
  </si>
  <si>
    <t>Art. 7º, XXI,CF/88, 477, 487 e ss. CLT</t>
  </si>
  <si>
    <t>Art. 18, §1º da Lei 8.036/90</t>
  </si>
  <si>
    <t>Art. 7º, XVII, CF/88</t>
  </si>
  <si>
    <t>Art. 7º, XXI, CF/88, 477, 487 e ss. da CLT</t>
  </si>
  <si>
    <t>Art. 473 da CLT</t>
  </si>
  <si>
    <t>Art. 7º, XIX, CF/88 e 10, §1º, da ADCT</t>
  </si>
  <si>
    <t>Art. 19 a 23 da Lei nº 8.213/91</t>
  </si>
  <si>
    <t>Art. 392 da CLT</t>
  </si>
  <si>
    <t>Vigilância</t>
  </si>
  <si>
    <t>Vigilância Armada - Diurna</t>
  </si>
  <si>
    <t>Vigilante</t>
  </si>
  <si>
    <t>Outros</t>
  </si>
  <si>
    <t>Art. 7º, VIII, CF/89</t>
  </si>
  <si>
    <t>Intervalo para repouso e alimentação (Intrajornada)</t>
  </si>
  <si>
    <t>Vigilância Armada - Noturna</t>
  </si>
  <si>
    <t>3. Quadro-resumo do VALOR MENSAL DOS SERVIÇOS</t>
  </si>
  <si>
    <t>Tipo de serviço</t>
  </si>
  <si>
    <t>Valor proposto por empregado</t>
  </si>
  <si>
    <t>Qtde de empregados por posto</t>
  </si>
  <si>
    <t>Valor proposto por posto</t>
  </si>
  <si>
    <t>Qtde de postos</t>
  </si>
  <si>
    <t>Valor total do serviço</t>
  </si>
  <si>
    <t>(A)</t>
  </si>
  <si>
    <t>(B)</t>
  </si>
  <si>
    <t>(C)</t>
  </si>
  <si>
    <t>(D) = (B x C)</t>
  </si>
  <si>
    <t>(E)</t>
  </si>
  <si>
    <t>(F) = (D x E)</t>
  </si>
  <si>
    <t>I</t>
  </si>
  <si>
    <t>R$</t>
  </si>
  <si>
    <t>II</t>
  </si>
  <si>
    <t>Valor mensal dos serviços</t>
  </si>
  <si>
    <t>4. Quadro demonstrativo do VALOR GLOBAL DA PROPOSTA</t>
  </si>
  <si>
    <t>Valor Global da Proposta</t>
  </si>
  <si>
    <t>Valor mensal do serviço</t>
  </si>
  <si>
    <t>Encargos previdenciários e FGTS</t>
  </si>
  <si>
    <t>Afastamento maternidade</t>
  </si>
  <si>
    <t>Vigilante Diurno</t>
  </si>
  <si>
    <t>Lote único</t>
  </si>
  <si>
    <t>Art. 2°, § 3º, da Lei 11.457, de 16 de março de 2007.</t>
  </si>
  <si>
    <t>Art. 3º, Inciso I, Decreto 87.043, de 22 de março de 1982.</t>
  </si>
  <si>
    <t>Nº de Empregados por posto</t>
  </si>
  <si>
    <t>Salário Mínimo Vigente:</t>
  </si>
  <si>
    <t>Ausência por doença</t>
  </si>
  <si>
    <t>Regime Tributário:</t>
  </si>
  <si>
    <t>Simples Nacional</t>
  </si>
  <si>
    <t>Alíquota do ISS</t>
  </si>
  <si>
    <t>Lucro Presumido</t>
  </si>
  <si>
    <t>Lucro Real</t>
  </si>
  <si>
    <t>ANEXO II-XVI - MODELO TRIBUTOS</t>
  </si>
  <si>
    <t>Apuração dos percentuais de PIS e COFINS (somente para empresas tributadas pelo lucro real)</t>
  </si>
  <si>
    <t>Apuração do percentual médio de recolhimento do PIS</t>
  </si>
  <si>
    <t>Mês</t>
  </si>
  <si>
    <t>Faturamento mensal</t>
  </si>
  <si>
    <t>Contribuição apurada</t>
  </si>
  <si>
    <t>Crédito Descontado</t>
  </si>
  <si>
    <t>Contribuição Devida</t>
  </si>
  <si>
    <t>Percentual Efetivo</t>
  </si>
  <si>
    <t>Recibo, Registro M210, M200,M600, M610 dos últimos 12 meses</t>
  </si>
  <si>
    <t>B = A * 1,65%</t>
  </si>
  <si>
    <t>D = B - C</t>
  </si>
  <si>
    <t>E =  D/A</t>
  </si>
  <si>
    <t>Percentual médio do período</t>
  </si>
  <si>
    <t>Apuração do percentual médio de recolhimento do COFINS</t>
  </si>
  <si>
    <t>B = A * 7,60%</t>
  </si>
  <si>
    <t>RBT dos últimos 12 meses</t>
  </si>
  <si>
    <t>Anexo IV – Serviços</t>
  </si>
  <si>
    <t>Faixa que se enquadra</t>
  </si>
  <si>
    <t>Alíquota nominal</t>
  </si>
  <si>
    <t>Estão incluídas empresas de limpeza, vigilância, construção de imóveis e serviços advocatícios, entre outros (lista completa do Anexo IV está no § 5º-C do artigo 18 da Lei Complementar 123).</t>
  </si>
  <si>
    <t>Parcela a deduzir</t>
  </si>
  <si>
    <t>Alíquota Efetiva TOTAL</t>
  </si>
  <si>
    <t>Faixa</t>
  </si>
  <si>
    <t>Faturamento anual (R$)</t>
  </si>
  <si>
    <t>Coluna1</t>
  </si>
  <si>
    <t>Alíquota (%)</t>
  </si>
  <si>
    <t>Valor a Deduzir (R$)</t>
  </si>
  <si>
    <t>Alíquota Efetiva PIS</t>
  </si>
  <si>
    <t>Alíquota Efetiva COFINS</t>
  </si>
  <si>
    <t>Alíquota Efetiva ISS</t>
  </si>
  <si>
    <t>Percentual de Repartição dos Tributos</t>
  </si>
  <si>
    <t>CSLL</t>
  </si>
  <si>
    <t>IRPJ</t>
  </si>
  <si>
    <t>Cofins</t>
  </si>
  <si>
    <t>PIS/Pasep</t>
  </si>
  <si>
    <t>40,00% (*)</t>
  </si>
  <si>
    <t>–</t>
  </si>
  <si>
    <t>5a Faixa, com alíquota efetiva superior a 12,5%</t>
  </si>
  <si>
    <t>Vigilância Armada - Diurna por Demanda</t>
  </si>
  <si>
    <t>Vigilância Armada - Diurna por Demanda com ronda</t>
  </si>
  <si>
    <t>MT000066/2022</t>
  </si>
  <si>
    <t>Cláusula Terceira da CCT</t>
  </si>
  <si>
    <t>Cláusula Sétima da CCT</t>
  </si>
  <si>
    <t>Cláusula Oitava da CCT</t>
  </si>
  <si>
    <t>Cláusula Décima da CCT</t>
  </si>
  <si>
    <t>Prêmio Assiduidade</t>
  </si>
  <si>
    <t>Clásula Décima Primeira da CCT</t>
  </si>
  <si>
    <t>Clásula Décima Segunda da CCT</t>
  </si>
  <si>
    <t>Auxílio-Refeição/Alimentação - Férias</t>
  </si>
  <si>
    <t>Clásula Décima Segunda da CCT § Sétimo</t>
  </si>
  <si>
    <t>Plano de Prevenção e Proteção a Vida e a Família</t>
  </si>
  <si>
    <t>Clásula Décima Quarta da CCT</t>
  </si>
  <si>
    <t>Prêmio Ronda Móvel</t>
  </si>
  <si>
    <t>Clásula Vigésima Terceira § Décimo Primeiro da CCT</t>
  </si>
  <si>
    <t>PCMSO</t>
  </si>
  <si>
    <t>Cláusula Vigésima Quarta da CCT</t>
  </si>
  <si>
    <t>Cláusula Décima Quarta da CCT</t>
  </si>
  <si>
    <t>Cláusula Décima Primeira da CCT</t>
  </si>
  <si>
    <t>Cláusula Décima Segunda da CCT § Sétimo</t>
  </si>
  <si>
    <t>Cláusula Décima Segunda da CCT</t>
  </si>
  <si>
    <t>Função</t>
  </si>
  <si>
    <t>Calca para vigilante, tipo militar em brim, com logotipo da empresa</t>
  </si>
  <si>
    <t>Camisa para vigilante tipo militar em brim, com logotipo da empresa</t>
  </si>
  <si>
    <t>Cinto de Nylon</t>
  </si>
  <si>
    <t>Sapato, tipo coturno (par)</t>
  </si>
  <si>
    <t>Meias (par)</t>
  </si>
  <si>
    <t>Quepe</t>
  </si>
  <si>
    <t>Crachá de Identificação com foto e logo da empresa</t>
  </si>
  <si>
    <t>Distintivo</t>
  </si>
  <si>
    <t>CAPA DE CHUVA de segurança com capuz, com mangas longas, cor preta, confeccionada em tecido de PVC forrado (fechamento em botão de pressão).</t>
  </si>
  <si>
    <t>Capa do colete para placa balística</t>
  </si>
  <si>
    <t>Revólver calibre 38 (trinta e oito) com capacidade mínima de 5(cinco) munições</t>
  </si>
  <si>
    <t>Munição calibre 38(trinta e oito) e mais uma carga de munição reserva para o armamento utilizado no posto</t>
  </si>
  <si>
    <t>Rádio de comunicação devidamente registrado no órgão competente com a mesma frequência da Polícia local ou celular corporativo tipo smartphone, com pacote de dados e voz(para serem utilizados pelos vigilantes) com plano de minutos suficientes para comunicação entre preposto, vigilante e fiscal do contrato</t>
  </si>
  <si>
    <t>Cassetete (Tonfa)</t>
  </si>
  <si>
    <t>Placa balística, nível mínimo IIA, removível.</t>
  </si>
  <si>
    <t>Porta cassete (Tonfa)</t>
  </si>
  <si>
    <t>Cinto de acessórios operacional com coldre e baleiro</t>
  </si>
  <si>
    <t>Lanterna recarregável de longo alcance</t>
  </si>
  <si>
    <t>Apito e Cordão de apito por vigilante (uso pessoal e intransferível)</t>
  </si>
  <si>
    <t>Livro de registro de ocorrências</t>
  </si>
  <si>
    <t>Crachás de identificação com foto em alta qualidade em PVC</t>
  </si>
  <si>
    <t>Vigilância Armada - Noturna com Ronda</t>
  </si>
  <si>
    <t>Vigilância Armada - Noturna por Demanda com ronda</t>
  </si>
  <si>
    <t>EPI's</t>
  </si>
  <si>
    <t>Valor da Diária</t>
  </si>
  <si>
    <t>Valor global dos postos fixos (valor mensal do serviço multiplicado pelo número de meses do contrato).</t>
  </si>
  <si>
    <t>Valor das diárias</t>
  </si>
  <si>
    <t>Valor global dos postos por demanda (valor da diária multiplicado pelo número estimado de diárias no período do contrato).</t>
  </si>
  <si>
    <t>Valor global do lote</t>
  </si>
  <si>
    <t>III</t>
  </si>
  <si>
    <t>IV</t>
  </si>
  <si>
    <t>Vigilante Noturno</t>
  </si>
  <si>
    <t>Vigilância Desarmada - Diurna</t>
  </si>
  <si>
    <t xml:space="preserve">Vigilância Armada - Noturna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</si>
</sst>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indexed="81"/>
      <name val="Segoe UI"/>
      <charset val="1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1"/>
        <bgColor theme="1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165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43" fontId="6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9" fontId="7" fillId="0" borderId="4" xfId="2" applyFont="1" applyBorder="1" applyAlignment="1">
      <alignment horizontal="center" vertical="center" wrapText="1"/>
    </xf>
    <xf numFmtId="10" fontId="7" fillId="0" borderId="4" xfId="2" applyNumberFormat="1" applyFont="1" applyBorder="1" applyAlignment="1">
      <alignment horizontal="center" vertical="center" wrapText="1"/>
    </xf>
    <xf numFmtId="0" fontId="7" fillId="0" borderId="0" xfId="0" applyFont="1"/>
    <xf numFmtId="0" fontId="8" fillId="3" borderId="0" xfId="0" applyFont="1" applyFill="1"/>
    <xf numFmtId="10" fontId="7" fillId="0" borderId="4" xfId="2" applyNumberFormat="1" applyFont="1" applyBorder="1"/>
    <xf numFmtId="10" fontId="7" fillId="0" borderId="4" xfId="2" applyNumberFormat="1" applyFont="1" applyBorder="1" applyAlignment="1">
      <alignment horizontal="center"/>
    </xf>
    <xf numFmtId="164" fontId="7" fillId="0" borderId="4" xfId="2" applyNumberFormat="1" applyFont="1" applyBorder="1" applyAlignment="1">
      <alignment horizontal="center"/>
    </xf>
    <xf numFmtId="0" fontId="7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43" fontId="2" fillId="0" borderId="0" xfId="1" applyFont="1"/>
    <xf numFmtId="0" fontId="2" fillId="0" borderId="4" xfId="0" applyFont="1" applyBorder="1"/>
    <xf numFmtId="43" fontId="2" fillId="0" borderId="4" xfId="0" applyNumberFormat="1" applyFont="1" applyBorder="1"/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4" borderId="4" xfId="0" applyFont="1" applyFill="1" applyBorder="1"/>
    <xf numFmtId="43" fontId="4" fillId="4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Font="1"/>
    <xf numFmtId="0" fontId="13" fillId="0" borderId="0" xfId="0" applyFont="1" applyAlignment="1">
      <alignment horizontal="center" vertical="center" wrapText="1"/>
    </xf>
    <xf numFmtId="43" fontId="0" fillId="0" borderId="0" xfId="1" applyFo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43" fontId="16" fillId="0" borderId="4" xfId="1" applyFont="1" applyBorder="1" applyAlignment="1">
      <alignment horizontal="center"/>
    </xf>
    <xf numFmtId="0" fontId="15" fillId="5" borderId="4" xfId="0" applyFont="1" applyFill="1" applyBorder="1" applyAlignment="1">
      <alignment horizontal="center" vertical="center" wrapText="1"/>
    </xf>
    <xf numFmtId="43" fontId="15" fillId="5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/>
    <xf numFmtId="0" fontId="12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vertical="top" wrapText="1"/>
    </xf>
    <xf numFmtId="43" fontId="7" fillId="0" borderId="4" xfId="0" applyNumberFormat="1" applyFont="1" applyBorder="1" applyAlignment="1">
      <alignment horizontal="center"/>
    </xf>
    <xf numFmtId="1" fontId="19" fillId="0" borderId="4" xfId="0" applyNumberFormat="1" applyFont="1" applyFill="1" applyBorder="1" applyAlignment="1">
      <alignment horizontal="center" vertical="top" wrapText="1"/>
    </xf>
    <xf numFmtId="44" fontId="19" fillId="0" borderId="4" xfId="0" applyNumberFormat="1" applyFont="1" applyFill="1" applyBorder="1" applyAlignment="1">
      <alignment horizontal="center" vertical="top" wrapText="1"/>
    </xf>
    <xf numFmtId="44" fontId="18" fillId="0" borderId="4" xfId="0" applyNumberFormat="1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/>
    </xf>
    <xf numFmtId="0" fontId="7" fillId="0" borderId="4" xfId="0" applyFont="1" applyBorder="1" applyAlignment="1"/>
    <xf numFmtId="44" fontId="7" fillId="0" borderId="4" xfId="0" applyNumberFormat="1" applyFont="1" applyBorder="1" applyAlignment="1"/>
    <xf numFmtId="44" fontId="6" fillId="0" borderId="4" xfId="0" applyNumberFormat="1" applyFont="1" applyBorder="1" applyAlignment="1"/>
    <xf numFmtId="0" fontId="5" fillId="0" borderId="1" xfId="0" applyFont="1" applyFill="1" applyBorder="1" applyAlignment="1" applyProtection="1">
      <alignment horizontal="center" vertical="center" wrapText="1"/>
    </xf>
    <xf numFmtId="9" fontId="7" fillId="0" borderId="4" xfId="2" applyNumberFormat="1" applyFont="1" applyBorder="1" applyAlignment="1">
      <alignment horizontal="center"/>
    </xf>
    <xf numFmtId="43" fontId="11" fillId="0" borderId="0" xfId="1" applyFont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/>
    <xf numFmtId="9" fontId="2" fillId="0" borderId="0" xfId="0" applyNumberFormat="1" applyFont="1"/>
    <xf numFmtId="0" fontId="22" fillId="0" borderId="0" xfId="4"/>
    <xf numFmtId="44" fontId="25" fillId="3" borderId="4" xfId="5" applyNumberFormat="1" applyFont="1" applyFill="1" applyBorder="1" applyAlignment="1">
      <alignment horizontal="center" wrapText="1"/>
    </xf>
    <xf numFmtId="0" fontId="25" fillId="3" borderId="4" xfId="5" applyFont="1" applyFill="1" applyBorder="1" applyAlignment="1">
      <alignment horizontal="center" wrapText="1"/>
    </xf>
    <xf numFmtId="44" fontId="24" fillId="0" borderId="4" xfId="5" applyNumberFormat="1" applyFont="1" applyBorder="1" applyAlignment="1">
      <alignment horizontal="center"/>
    </xf>
    <xf numFmtId="0" fontId="24" fillId="0" borderId="4" xfId="5" applyFont="1" applyBorder="1" applyAlignment="1">
      <alignment horizontal="center"/>
    </xf>
    <xf numFmtId="17" fontId="24" fillId="0" borderId="4" xfId="5" applyNumberFormat="1" applyFont="1" applyFill="1" applyBorder="1"/>
    <xf numFmtId="165" fontId="24" fillId="0" borderId="4" xfId="6" applyFont="1" applyFill="1" applyBorder="1"/>
    <xf numFmtId="43" fontId="24" fillId="0" borderId="4" xfId="5" applyNumberFormat="1" applyFont="1" applyFill="1" applyBorder="1"/>
    <xf numFmtId="166" fontId="24" fillId="0" borderId="4" xfId="7" applyFont="1" applyFill="1" applyBorder="1"/>
    <xf numFmtId="10" fontId="24" fillId="0" borderId="4" xfId="8" applyNumberFormat="1" applyFont="1" applyFill="1" applyBorder="1"/>
    <xf numFmtId="44" fontId="24" fillId="0" borderId="4" xfId="7" applyNumberFormat="1" applyFont="1" applyFill="1" applyBorder="1"/>
    <xf numFmtId="165" fontId="1" fillId="0" borderId="0" xfId="6" applyFont="1"/>
    <xf numFmtId="14" fontId="22" fillId="0" borderId="0" xfId="4" applyNumberFormat="1"/>
    <xf numFmtId="10" fontId="25" fillId="3" borderId="4" xfId="5" applyNumberFormat="1" applyFont="1" applyFill="1" applyBorder="1" applyAlignment="1">
      <alignment vertical="center"/>
    </xf>
    <xf numFmtId="0" fontId="24" fillId="0" borderId="0" xfId="5" applyFont="1"/>
    <xf numFmtId="44" fontId="24" fillId="0" borderId="0" xfId="5" applyNumberFormat="1" applyFont="1"/>
    <xf numFmtId="0" fontId="25" fillId="3" borderId="4" xfId="5" applyFont="1" applyFill="1" applyBorder="1" applyAlignment="1">
      <alignment horizontal="center" vertical="center" wrapText="1"/>
    </xf>
    <xf numFmtId="44" fontId="25" fillId="3" borderId="4" xfId="5" applyNumberFormat="1" applyFont="1" applyFill="1" applyBorder="1" applyAlignment="1">
      <alignment horizontal="center" vertical="center" wrapText="1"/>
    </xf>
    <xf numFmtId="0" fontId="24" fillId="0" borderId="4" xfId="5" applyFont="1" applyBorder="1"/>
    <xf numFmtId="44" fontId="22" fillId="0" borderId="4" xfId="4" applyNumberFormat="1" applyFont="1" applyBorder="1"/>
    <xf numFmtId="0" fontId="25" fillId="3" borderId="0" xfId="5" applyFont="1" applyFill="1" applyBorder="1" applyAlignment="1">
      <alignment horizontal="center"/>
    </xf>
    <xf numFmtId="10" fontId="25" fillId="3" borderId="0" xfId="5" applyNumberFormat="1" applyFont="1" applyFill="1" applyBorder="1"/>
    <xf numFmtId="0" fontId="25" fillId="3" borderId="0" xfId="5" applyFont="1" applyFill="1" applyBorder="1" applyAlignment="1">
      <alignment horizontal="left"/>
    </xf>
    <xf numFmtId="0" fontId="22" fillId="3" borderId="0" xfId="4" applyFill="1"/>
    <xf numFmtId="0" fontId="24" fillId="3" borderId="0" xfId="3" applyFont="1" applyFill="1"/>
    <xf numFmtId="44" fontId="24" fillId="3" borderId="0" xfId="3" applyNumberFormat="1" applyFont="1" applyFill="1"/>
    <xf numFmtId="10" fontId="26" fillId="3" borderId="0" xfId="3" applyNumberFormat="1" applyFont="1" applyFill="1"/>
    <xf numFmtId="0" fontId="22" fillId="0" borderId="0" xfId="3"/>
    <xf numFmtId="44" fontId="22" fillId="0" borderId="0" xfId="3" applyNumberFormat="1"/>
    <xf numFmtId="0" fontId="0" fillId="0" borderId="4" xfId="0" applyFont="1" applyBorder="1"/>
    <xf numFmtId="43" fontId="0" fillId="0" borderId="4" xfId="1" applyNumberFormat="1" applyFont="1" applyBorder="1" applyAlignment="1">
      <alignment horizontal="center"/>
    </xf>
    <xf numFmtId="0" fontId="0" fillId="6" borderId="4" xfId="0" applyFont="1" applyFill="1" applyBorder="1"/>
    <xf numFmtId="167" fontId="0" fillId="6" borderId="4" xfId="1" applyNumberFormat="1" applyFont="1" applyFill="1" applyBorder="1" applyAlignment="1"/>
    <xf numFmtId="43" fontId="0" fillId="6" borderId="4" xfId="1" applyNumberFormat="1" applyFont="1" applyFill="1" applyBorder="1" applyAlignment="1">
      <alignment horizontal="center"/>
    </xf>
    <xf numFmtId="10" fontId="0" fillId="0" borderId="0" xfId="2" applyNumberFormat="1" applyFont="1"/>
    <xf numFmtId="0" fontId="0" fillId="0" borderId="9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0" fillId="0" borderId="4" xfId="0" applyBorder="1"/>
    <xf numFmtId="43" fontId="0" fillId="0" borderId="4" xfId="1" applyFont="1" applyBorder="1"/>
    <xf numFmtId="0" fontId="0" fillId="0" borderId="4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4" fontId="0" fillId="0" borderId="6" xfId="0" applyNumberFormat="1" applyBorder="1"/>
    <xf numFmtId="0" fontId="0" fillId="0" borderId="0" xfId="0" applyAlignment="1">
      <alignment horizontal="center"/>
    </xf>
    <xf numFmtId="0" fontId="0" fillId="0" borderId="11" xfId="0" applyBorder="1"/>
    <xf numFmtId="43" fontId="0" fillId="0" borderId="8" xfId="1" applyFont="1" applyBorder="1"/>
    <xf numFmtId="0" fontId="0" fillId="0" borderId="8" xfId="0" applyBorder="1" applyAlignment="1">
      <alignment horizontal="center"/>
    </xf>
    <xf numFmtId="4" fontId="0" fillId="0" borderId="12" xfId="0" applyNumberFormat="1" applyBorder="1"/>
    <xf numFmtId="0" fontId="0" fillId="0" borderId="4" xfId="0" applyBorder="1" applyAlignment="1"/>
    <xf numFmtId="0" fontId="21" fillId="7" borderId="4" xfId="0" applyFont="1" applyFill="1" applyBorder="1"/>
    <xf numFmtId="10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6" borderId="13" xfId="0" applyFont="1" applyFill="1" applyBorder="1" applyAlignment="1">
      <alignment vertical="center" wrapText="1"/>
    </xf>
    <xf numFmtId="10" fontId="0" fillId="0" borderId="0" xfId="0" applyNumberFormat="1" applyAlignment="1">
      <alignment horizontal="center" vertical="center"/>
    </xf>
    <xf numFmtId="9" fontId="7" fillId="8" borderId="4" xfId="2" applyFont="1" applyFill="1" applyBorder="1" applyAlignment="1">
      <alignment horizontal="center" vertical="center" wrapText="1"/>
    </xf>
    <xf numFmtId="10" fontId="7" fillId="8" borderId="4" xfId="2" applyNumberFormat="1" applyFont="1" applyFill="1" applyBorder="1" applyAlignment="1">
      <alignment horizontal="center" vertical="center" wrapText="1"/>
    </xf>
    <xf numFmtId="9" fontId="16" fillId="0" borderId="4" xfId="2" applyFont="1" applyBorder="1" applyAlignment="1">
      <alignment horizontal="center"/>
    </xf>
    <xf numFmtId="43" fontId="7" fillId="0" borderId="4" xfId="1" applyFont="1" applyBorder="1" applyAlignment="1">
      <alignment horizontal="left" vertical="center" wrapText="1"/>
    </xf>
    <xf numFmtId="0" fontId="11" fillId="0" borderId="4" xfId="0" applyNumberFormat="1" applyFont="1" applyBorder="1"/>
    <xf numFmtId="0" fontId="4" fillId="4" borderId="4" xfId="0" applyFont="1" applyFill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8" fontId="2" fillId="0" borderId="4" xfId="1" applyNumberFormat="1" applyFont="1" applyBorder="1"/>
    <xf numFmtId="0" fontId="11" fillId="0" borderId="4" xfId="0" applyFont="1" applyBorder="1" applyAlignment="1">
      <alignment wrapText="1"/>
    </xf>
    <xf numFmtId="0" fontId="11" fillId="0" borderId="4" xfId="0" applyFont="1" applyBorder="1" applyAlignment="1">
      <alignment horizontal="center"/>
    </xf>
    <xf numFmtId="8" fontId="11" fillId="0" borderId="4" xfId="1" applyNumberFormat="1" applyFont="1" applyBorder="1"/>
    <xf numFmtId="43" fontId="11" fillId="0" borderId="4" xfId="1" applyFont="1" applyBorder="1" applyAlignment="1">
      <alignment horizontal="center"/>
    </xf>
    <xf numFmtId="43" fontId="11" fillId="0" borderId="4" xfId="0" applyNumberFormat="1" applyFont="1" applyBorder="1" applyAlignment="1">
      <alignment horizontal="center"/>
    </xf>
    <xf numFmtId="0" fontId="19" fillId="0" borderId="4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wrapText="1"/>
    </xf>
    <xf numFmtId="8" fontId="2" fillId="0" borderId="4" xfId="1" applyNumberFormat="1" applyFont="1" applyBorder="1" applyAlignment="1">
      <alignment wrapText="1"/>
    </xf>
    <xf numFmtId="43" fontId="2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9" fillId="0" borderId="4" xfId="0" applyFont="1" applyFill="1" applyBorder="1" applyAlignment="1">
      <alignment horizontal="left" vertical="top" wrapText="1"/>
    </xf>
    <xf numFmtId="0" fontId="6" fillId="0" borderId="4" xfId="0" applyFont="1" applyBorder="1"/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/>
    </xf>
    <xf numFmtId="0" fontId="18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 applyProtection="1">
      <alignment horizontal="center" vertical="center"/>
    </xf>
    <xf numFmtId="0" fontId="18" fillId="4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14" fontId="7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" fontId="12" fillId="0" borderId="4" xfId="1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25" fillId="3" borderId="4" xfId="5" applyFont="1" applyFill="1" applyBorder="1" applyAlignment="1">
      <alignment horizontal="center" vertical="center"/>
    </xf>
    <xf numFmtId="0" fontId="25" fillId="3" borderId="0" xfId="5" applyFont="1" applyFill="1" applyBorder="1" applyAlignment="1">
      <alignment horizontal="left"/>
    </xf>
    <xf numFmtId="0" fontId="25" fillId="3" borderId="0" xfId="5" applyFont="1" applyFill="1" applyBorder="1" applyAlignment="1">
      <alignment horizontal="center"/>
    </xf>
    <xf numFmtId="0" fontId="24" fillId="0" borderId="6" xfId="5" applyFont="1" applyBorder="1" applyAlignment="1">
      <alignment horizontal="center" vertical="center"/>
    </xf>
    <xf numFmtId="0" fontId="24" fillId="0" borderId="3" xfId="5" applyFont="1" applyBorder="1" applyAlignment="1">
      <alignment horizontal="center" vertical="center"/>
    </xf>
    <xf numFmtId="0" fontId="24" fillId="0" borderId="7" xfId="5" applyFont="1" applyBorder="1" applyAlignment="1">
      <alignment horizontal="center" vertical="center"/>
    </xf>
    <xf numFmtId="0" fontId="23" fillId="0" borderId="2" xfId="3" applyFont="1" applyBorder="1" applyAlignment="1">
      <alignment horizontal="center"/>
    </xf>
    <xf numFmtId="0" fontId="25" fillId="3" borderId="8" xfId="5" applyFont="1" applyFill="1" applyBorder="1" applyAlignment="1">
      <alignment horizontal="center" vertical="center" wrapText="1"/>
    </xf>
    <xf numFmtId="0" fontId="25" fillId="3" borderId="5" xfId="5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</cellXfs>
  <cellStyles count="9">
    <cellStyle name="Moeda 7" xfId="6"/>
    <cellStyle name="Normal" xfId="0" builtinId="0"/>
    <cellStyle name="Normal 2" xfId="4"/>
    <cellStyle name="Normal 3 2" xfId="5"/>
    <cellStyle name="Normal 4 2" xfId="3"/>
    <cellStyle name="Porcentagem" xfId="2" builtinId="5"/>
    <cellStyle name="Porcentagem 3" xfId="8"/>
    <cellStyle name="Vírgula" xfId="1" builtinId="3"/>
    <cellStyle name="Vírgula 5 2" xfId="7"/>
  </cellStyles>
  <dxfs count="25"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  <alignment horizontal="center" vertical="bottom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D5:H11" totalsRowShown="0" headerRowDxfId="24" headerRowBorderDxfId="23" tableBorderDxfId="22" totalsRowBorderDxfId="21">
  <autoFilter ref="D5:H11"/>
  <tableColumns count="5">
    <tableColumn id="1" name="Faixa" dataDxfId="20"/>
    <tableColumn id="2" name="Faturamento anual (R$)" dataDxfId="19" dataCellStyle="Vírgula"/>
    <tableColumn id="3" name="Coluna1" dataDxfId="18" dataCellStyle="Vírgula"/>
    <tableColumn id="4" name="Alíquota (%)" dataDxfId="17"/>
    <tableColumn id="5" name="Valor a Deduzir (R$)" dataDxfId="16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E15:I21" totalsRowShown="0">
  <autoFilter ref="E15:I21"/>
  <tableColumns count="5">
    <tableColumn id="1" name="ISS" dataDxfId="15"/>
    <tableColumn id="2" name="CSLL" dataDxfId="14"/>
    <tableColumn id="3" name="IRPJ" dataDxfId="13"/>
    <tableColumn id="4" name="Cofins" dataDxfId="12"/>
    <tableColumn id="5" name="PIS/Pasep" dataDxfId="11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E22:I23" totalsRowShown="0" dataDxfId="10">
  <autoFilter ref="E22:I23"/>
  <tableColumns count="5">
    <tableColumn id="1" name="ISS" dataDxfId="9" totalsRowDxfId="8"/>
    <tableColumn id="2" name="CSLL" dataDxfId="7" totalsRowDxfId="6"/>
    <tableColumn id="3" name="IRPJ" dataDxfId="5" totalsRowDxfId="4"/>
    <tableColumn id="4" name="Cofins" dataDxfId="3" totalsRowDxfId="2"/>
    <tableColumn id="5" name="PIS/Pasep" dataDxfId="1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workbookViewId="0">
      <selection activeCell="M31" sqref="M31"/>
    </sheetView>
  </sheetViews>
  <sheetFormatPr defaultRowHeight="15" x14ac:dyDescent="0.25"/>
  <cols>
    <col min="1" max="1" width="22.28515625" bestFit="1" customWidth="1"/>
    <col min="2" max="2" width="21.140625" customWidth="1"/>
    <col min="11" max="11" width="16" hidden="1" customWidth="1"/>
  </cols>
  <sheetData>
    <row r="1" spans="1:12" x14ac:dyDescent="0.25">
      <c r="A1" s="50"/>
      <c r="B1" s="50"/>
    </row>
    <row r="2" spans="1:12" ht="15.75" x14ac:dyDescent="0.25">
      <c r="A2" s="46" t="s">
        <v>121</v>
      </c>
      <c r="B2" s="47" t="s">
        <v>120</v>
      </c>
      <c r="C2" s="1"/>
      <c r="D2" s="43" t="s">
        <v>119</v>
      </c>
      <c r="E2" s="1"/>
      <c r="F2" s="1"/>
      <c r="G2" s="1"/>
      <c r="H2" s="1"/>
      <c r="I2" s="1"/>
      <c r="J2" s="1"/>
      <c r="K2" s="1" t="s">
        <v>183</v>
      </c>
      <c r="L2" s="1"/>
    </row>
    <row r="3" spans="1:12" ht="15.75" x14ac:dyDescent="0.25">
      <c r="A3" s="46" t="s">
        <v>180</v>
      </c>
      <c r="B3" s="49">
        <v>1212</v>
      </c>
      <c r="C3" s="15" t="s">
        <v>85</v>
      </c>
      <c r="D3" s="1"/>
      <c r="E3" s="1"/>
      <c r="F3" s="1"/>
      <c r="G3" s="1"/>
      <c r="H3" s="1"/>
      <c r="I3" s="1"/>
      <c r="J3" s="1"/>
      <c r="K3" s="1" t="s">
        <v>185</v>
      </c>
      <c r="L3" s="1"/>
    </row>
    <row r="4" spans="1:12" ht="15.75" x14ac:dyDescent="0.25">
      <c r="A4" s="46" t="s">
        <v>182</v>
      </c>
      <c r="B4" s="47" t="s">
        <v>186</v>
      </c>
      <c r="C4" s="15"/>
      <c r="D4" s="1"/>
      <c r="E4" s="1"/>
      <c r="F4" s="1"/>
      <c r="G4" s="1"/>
      <c r="H4" s="1"/>
      <c r="I4" s="1"/>
      <c r="J4" s="1"/>
      <c r="K4" s="1" t="s">
        <v>186</v>
      </c>
      <c r="L4" s="1"/>
    </row>
    <row r="5" spans="1:12" ht="15.75" x14ac:dyDescent="0.25">
      <c r="A5" s="46" t="s">
        <v>184</v>
      </c>
      <c r="B5" s="145">
        <v>0.05</v>
      </c>
      <c r="C5" s="15"/>
      <c r="D5" s="1"/>
      <c r="E5" s="1"/>
      <c r="F5" s="1"/>
      <c r="G5" s="1"/>
      <c r="H5" s="1"/>
      <c r="I5" s="1"/>
      <c r="J5" s="1"/>
      <c r="K5" s="1"/>
      <c r="L5" s="1"/>
    </row>
  </sheetData>
  <dataValidations count="1">
    <dataValidation type="list" allowBlank="1" showInputMessage="1" showErrorMessage="1" sqref="B4">
      <formula1>$K$2:$K$4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"/>
  <sheetViews>
    <sheetView workbookViewId="0">
      <selection activeCell="M31" sqref="M31"/>
    </sheetView>
  </sheetViews>
  <sheetFormatPr defaultRowHeight="15" x14ac:dyDescent="0.25"/>
  <cols>
    <col min="1" max="1" width="34.42578125" customWidth="1"/>
    <col min="2" max="2" width="12.140625" bestFit="1" customWidth="1"/>
    <col min="3" max="3" width="13.5703125" bestFit="1" customWidth="1"/>
    <col min="4" max="4" width="12" bestFit="1" customWidth="1"/>
    <col min="5" max="5" width="15.7109375" customWidth="1"/>
    <col min="6" max="6" width="12.42578125" style="45" customWidth="1"/>
  </cols>
  <sheetData>
    <row r="1" spans="1:6" s="44" customFormat="1" ht="28.5" x14ac:dyDescent="0.25">
      <c r="A1" s="50" t="s">
        <v>118</v>
      </c>
      <c r="B1" s="50" t="s">
        <v>122</v>
      </c>
      <c r="C1" s="50" t="s">
        <v>97</v>
      </c>
      <c r="D1" s="50" t="s">
        <v>123</v>
      </c>
      <c r="E1" s="50" t="s">
        <v>125</v>
      </c>
      <c r="F1" s="51" t="s">
        <v>124</v>
      </c>
    </row>
    <row r="2" spans="1:6" x14ac:dyDescent="0.25">
      <c r="A2" s="46" t="s">
        <v>117</v>
      </c>
      <c r="B2" s="47">
        <v>15</v>
      </c>
      <c r="C2" s="47">
        <v>4.0999999999999996</v>
      </c>
      <c r="D2" s="47">
        <v>2</v>
      </c>
      <c r="E2" s="48">
        <v>0.06</v>
      </c>
      <c r="F2" s="49">
        <f>(C2*D2)*B2-'Vigilante Diurno'!$D$25*Beneficios!E2</f>
        <v>36.00239999999998</v>
      </c>
    </row>
    <row r="3" spans="1:6" x14ac:dyDescent="0.25">
      <c r="A3" s="46" t="s">
        <v>39</v>
      </c>
      <c r="B3" s="47">
        <v>15</v>
      </c>
      <c r="C3" s="47">
        <v>23.13</v>
      </c>
      <c r="D3" s="47">
        <v>1</v>
      </c>
      <c r="E3" s="48">
        <v>0.02</v>
      </c>
      <c r="F3" s="49">
        <f>(C3*B3)-(B3*C3)*E3</f>
        <v>340.01099999999997</v>
      </c>
    </row>
    <row r="4" spans="1:6" x14ac:dyDescent="0.25">
      <c r="A4" s="46" t="s">
        <v>233</v>
      </c>
      <c r="B4" s="47">
        <v>1</v>
      </c>
      <c r="C4" s="47">
        <v>104.65</v>
      </c>
      <c r="D4" s="47"/>
      <c r="E4" s="47"/>
      <c r="F4" s="49">
        <f t="shared" ref="F4" si="0">(C4*B4)-(B4*C4)*E4</f>
        <v>104.65</v>
      </c>
    </row>
    <row r="5" spans="1:6" x14ac:dyDescent="0.25">
      <c r="A5" s="46" t="s">
        <v>236</v>
      </c>
      <c r="B5" s="47">
        <v>15</v>
      </c>
      <c r="C5" s="47">
        <v>23.13</v>
      </c>
      <c r="D5" s="47">
        <v>1</v>
      </c>
      <c r="E5" s="47"/>
      <c r="F5" s="49">
        <f>((C5*B5)-(B5*C5)*E5)/12</f>
        <v>28.912499999999998</v>
      </c>
    </row>
    <row r="6" spans="1:6" x14ac:dyDescent="0.25">
      <c r="A6" s="46"/>
      <c r="B6" s="47"/>
      <c r="C6" s="47"/>
      <c r="D6" s="47"/>
      <c r="E6" s="47"/>
      <c r="F6" s="49"/>
    </row>
    <row r="7" spans="1:6" x14ac:dyDescent="0.25">
      <c r="A7" s="46"/>
      <c r="B7" s="47"/>
      <c r="C7" s="47"/>
      <c r="D7" s="47"/>
      <c r="E7" s="47"/>
      <c r="F7" s="49"/>
    </row>
    <row r="8" spans="1:6" x14ac:dyDescent="0.25">
      <c r="A8" s="46"/>
      <c r="B8" s="47"/>
      <c r="C8" s="47"/>
      <c r="D8" s="47"/>
      <c r="E8" s="47"/>
      <c r="F8" s="49"/>
    </row>
  </sheetData>
  <pageMargins left="0.511811024" right="0.511811024" top="0.78740157499999996" bottom="0.78740157499999996" header="0.31496062000000002" footer="0.31496062000000002"/>
  <pageSetup paperSize="9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workbookViewId="0">
      <selection activeCell="A22" sqref="A22:XFD37"/>
    </sheetView>
  </sheetViews>
  <sheetFormatPr defaultColWidth="9.140625" defaultRowHeight="15.75" x14ac:dyDescent="0.25"/>
  <cols>
    <col min="1" max="1" width="5.42578125" style="1" bestFit="1" customWidth="1"/>
    <col min="2" max="2" width="36.28515625" style="165" bestFit="1" customWidth="1"/>
    <col min="3" max="3" width="11.85546875" style="1" bestFit="1" customWidth="1"/>
    <col min="4" max="4" width="15.7109375" style="24" bestFit="1" customWidth="1"/>
    <col min="5" max="5" width="11.85546875" style="1" bestFit="1" customWidth="1"/>
    <col min="6" max="6" width="13.7109375" style="1" bestFit="1" customWidth="1"/>
    <col min="7" max="7" width="16.42578125" style="1" customWidth="1"/>
    <col min="8" max="16384" width="9.140625" style="1"/>
  </cols>
  <sheetData>
    <row r="1" spans="1:7" s="28" customFormat="1" x14ac:dyDescent="0.25">
      <c r="A1" s="29" t="s">
        <v>91</v>
      </c>
      <c r="B1" s="148" t="s">
        <v>92</v>
      </c>
      <c r="C1" s="29" t="s">
        <v>93</v>
      </c>
      <c r="D1" s="30" t="s">
        <v>94</v>
      </c>
      <c r="E1" s="29" t="s">
        <v>95</v>
      </c>
      <c r="F1" s="29" t="s">
        <v>96</v>
      </c>
      <c r="G1" s="29" t="s">
        <v>248</v>
      </c>
    </row>
    <row r="2" spans="1:7" ht="31.5" x14ac:dyDescent="0.25">
      <c r="A2" s="25">
        <v>1</v>
      </c>
      <c r="B2" s="162" t="s">
        <v>249</v>
      </c>
      <c r="C2" s="25">
        <v>4</v>
      </c>
      <c r="D2" s="155">
        <v>94</v>
      </c>
      <c r="E2" s="26">
        <f>C2*D2</f>
        <v>376</v>
      </c>
      <c r="F2" s="26">
        <f>E2/12</f>
        <v>31.333333333333332</v>
      </c>
      <c r="G2" s="25" t="s">
        <v>175</v>
      </c>
    </row>
    <row r="3" spans="1:7" ht="31.5" x14ac:dyDescent="0.25">
      <c r="A3" s="25">
        <v>2</v>
      </c>
      <c r="B3" s="162" t="s">
        <v>250</v>
      </c>
      <c r="C3" s="25">
        <v>4</v>
      </c>
      <c r="D3" s="155">
        <v>88.27</v>
      </c>
      <c r="E3" s="26">
        <f t="shared" ref="E3:E11" si="0">C3*D3</f>
        <v>353.08</v>
      </c>
      <c r="F3" s="26">
        <f t="shared" ref="F3:F11" si="1">E3/12</f>
        <v>29.423333333333332</v>
      </c>
      <c r="G3" s="25" t="s">
        <v>175</v>
      </c>
    </row>
    <row r="4" spans="1:7" x14ac:dyDescent="0.25">
      <c r="A4" s="25">
        <v>3</v>
      </c>
      <c r="B4" s="162" t="s">
        <v>251</v>
      </c>
      <c r="C4" s="25">
        <v>4</v>
      </c>
      <c r="D4" s="155">
        <v>41.33</v>
      </c>
      <c r="E4" s="26">
        <f t="shared" si="0"/>
        <v>165.32</v>
      </c>
      <c r="F4" s="26">
        <f t="shared" si="1"/>
        <v>13.776666666666666</v>
      </c>
      <c r="G4" s="25" t="s">
        <v>175</v>
      </c>
    </row>
    <row r="5" spans="1:7" x14ac:dyDescent="0.25">
      <c r="A5" s="25">
        <v>4</v>
      </c>
      <c r="B5" s="162" t="s">
        <v>252</v>
      </c>
      <c r="C5" s="25">
        <v>2</v>
      </c>
      <c r="D5" s="155">
        <v>82.7</v>
      </c>
      <c r="E5" s="26">
        <f t="shared" si="0"/>
        <v>165.4</v>
      </c>
      <c r="F5" s="26">
        <f t="shared" si="1"/>
        <v>13.783333333333333</v>
      </c>
      <c r="G5" s="25" t="s">
        <v>175</v>
      </c>
    </row>
    <row r="6" spans="1:7" x14ac:dyDescent="0.25">
      <c r="A6" s="25">
        <v>5</v>
      </c>
      <c r="B6" s="162" t="s">
        <v>253</v>
      </c>
      <c r="C6" s="25">
        <v>6</v>
      </c>
      <c r="D6" s="155">
        <v>37.770000000000003</v>
      </c>
      <c r="E6" s="26">
        <f t="shared" si="0"/>
        <v>226.62</v>
      </c>
      <c r="F6" s="26">
        <f t="shared" si="1"/>
        <v>18.885000000000002</v>
      </c>
      <c r="G6" s="25" t="s">
        <v>175</v>
      </c>
    </row>
    <row r="7" spans="1:7" x14ac:dyDescent="0.25">
      <c r="A7" s="25">
        <v>6</v>
      </c>
      <c r="B7" s="162" t="s">
        <v>254</v>
      </c>
      <c r="C7" s="25">
        <v>1</v>
      </c>
      <c r="D7" s="155">
        <v>112.5</v>
      </c>
      <c r="E7" s="26">
        <f t="shared" si="0"/>
        <v>112.5</v>
      </c>
      <c r="F7" s="26">
        <f t="shared" si="1"/>
        <v>9.375</v>
      </c>
      <c r="G7" s="25" t="s">
        <v>175</v>
      </c>
    </row>
    <row r="8" spans="1:7" ht="31.5" x14ac:dyDescent="0.25">
      <c r="A8" s="25">
        <v>7</v>
      </c>
      <c r="B8" s="162" t="s">
        <v>255</v>
      </c>
      <c r="C8" s="25">
        <v>1</v>
      </c>
      <c r="D8" s="155">
        <v>4.72</v>
      </c>
      <c r="E8" s="26">
        <f t="shared" si="0"/>
        <v>4.72</v>
      </c>
      <c r="F8" s="26">
        <f t="shared" si="1"/>
        <v>0.39333333333333331</v>
      </c>
      <c r="G8" s="25" t="s">
        <v>175</v>
      </c>
    </row>
    <row r="9" spans="1:7" x14ac:dyDescent="0.25">
      <c r="A9" s="25">
        <v>8</v>
      </c>
      <c r="B9" s="162" t="s">
        <v>256</v>
      </c>
      <c r="C9" s="25">
        <v>1</v>
      </c>
      <c r="D9" s="155">
        <v>137.97</v>
      </c>
      <c r="E9" s="26">
        <f t="shared" si="0"/>
        <v>137.97</v>
      </c>
      <c r="F9" s="26">
        <f t="shared" si="1"/>
        <v>11.4975</v>
      </c>
      <c r="G9" s="25" t="s">
        <v>175</v>
      </c>
    </row>
    <row r="10" spans="1:7" ht="78.75" x14ac:dyDescent="0.25">
      <c r="A10" s="25">
        <v>9</v>
      </c>
      <c r="B10" s="162" t="s">
        <v>257</v>
      </c>
      <c r="C10" s="25">
        <v>1</v>
      </c>
      <c r="D10" s="155">
        <v>27.17</v>
      </c>
      <c r="E10" s="26">
        <f t="shared" si="0"/>
        <v>27.17</v>
      </c>
      <c r="F10" s="26">
        <f t="shared" si="1"/>
        <v>2.2641666666666667</v>
      </c>
      <c r="G10" s="25" t="s">
        <v>175</v>
      </c>
    </row>
    <row r="11" spans="1:7" x14ac:dyDescent="0.25">
      <c r="A11" s="25">
        <v>10</v>
      </c>
      <c r="B11" s="162" t="s">
        <v>258</v>
      </c>
      <c r="C11" s="25">
        <v>1</v>
      </c>
      <c r="D11" s="155">
        <v>156.63</v>
      </c>
      <c r="E11" s="26">
        <f t="shared" si="0"/>
        <v>156.63</v>
      </c>
      <c r="F11" s="26">
        <f t="shared" si="1"/>
        <v>13.0525</v>
      </c>
      <c r="G11" s="25" t="s">
        <v>175</v>
      </c>
    </row>
    <row r="12" spans="1:7" ht="31.5" x14ac:dyDescent="0.25">
      <c r="A12" s="25">
        <v>11</v>
      </c>
      <c r="B12" s="162" t="s">
        <v>249</v>
      </c>
      <c r="C12" s="25">
        <v>4</v>
      </c>
      <c r="D12" s="155">
        <v>94</v>
      </c>
      <c r="E12" s="26">
        <f>C12*D12</f>
        <v>376</v>
      </c>
      <c r="F12" s="26">
        <f>E12/12</f>
        <v>31.333333333333332</v>
      </c>
      <c r="G12" s="25" t="s">
        <v>280</v>
      </c>
    </row>
    <row r="13" spans="1:7" ht="31.5" x14ac:dyDescent="0.25">
      <c r="A13" s="25">
        <v>12</v>
      </c>
      <c r="B13" s="162" t="s">
        <v>250</v>
      </c>
      <c r="C13" s="25">
        <v>4</v>
      </c>
      <c r="D13" s="155">
        <v>88.27</v>
      </c>
      <c r="E13" s="26">
        <f t="shared" ref="E13:E21" si="2">C13*D13</f>
        <v>353.08</v>
      </c>
      <c r="F13" s="26">
        <f t="shared" ref="F13:F21" si="3">E13/12</f>
        <v>29.423333333333332</v>
      </c>
      <c r="G13" s="25" t="s">
        <v>280</v>
      </c>
    </row>
    <row r="14" spans="1:7" x14ac:dyDescent="0.25">
      <c r="A14" s="25">
        <v>13</v>
      </c>
      <c r="B14" s="162" t="s">
        <v>251</v>
      </c>
      <c r="C14" s="25">
        <v>4</v>
      </c>
      <c r="D14" s="155">
        <v>41.33</v>
      </c>
      <c r="E14" s="26">
        <f t="shared" si="2"/>
        <v>165.32</v>
      </c>
      <c r="F14" s="26">
        <f t="shared" si="3"/>
        <v>13.776666666666666</v>
      </c>
      <c r="G14" s="25" t="s">
        <v>280</v>
      </c>
    </row>
    <row r="15" spans="1:7" x14ac:dyDescent="0.25">
      <c r="A15" s="25">
        <v>14</v>
      </c>
      <c r="B15" s="162" t="s">
        <v>252</v>
      </c>
      <c r="C15" s="25">
        <v>2</v>
      </c>
      <c r="D15" s="155">
        <v>82.7</v>
      </c>
      <c r="E15" s="26">
        <f t="shared" si="2"/>
        <v>165.4</v>
      </c>
      <c r="F15" s="26">
        <f t="shared" si="3"/>
        <v>13.783333333333333</v>
      </c>
      <c r="G15" s="25" t="s">
        <v>280</v>
      </c>
    </row>
    <row r="16" spans="1:7" x14ac:dyDescent="0.25">
      <c r="A16" s="25">
        <v>15</v>
      </c>
      <c r="B16" s="162" t="s">
        <v>253</v>
      </c>
      <c r="C16" s="25">
        <v>6</v>
      </c>
      <c r="D16" s="155">
        <v>37.770000000000003</v>
      </c>
      <c r="E16" s="26">
        <f t="shared" si="2"/>
        <v>226.62</v>
      </c>
      <c r="F16" s="26">
        <f t="shared" si="3"/>
        <v>18.885000000000002</v>
      </c>
      <c r="G16" s="25" t="s">
        <v>280</v>
      </c>
    </row>
    <row r="17" spans="1:7" x14ac:dyDescent="0.25">
      <c r="A17" s="25">
        <v>16</v>
      </c>
      <c r="B17" s="162" t="s">
        <v>254</v>
      </c>
      <c r="C17" s="25">
        <v>1</v>
      </c>
      <c r="D17" s="155">
        <v>112.5</v>
      </c>
      <c r="E17" s="26">
        <f t="shared" si="2"/>
        <v>112.5</v>
      </c>
      <c r="F17" s="26">
        <f t="shared" si="3"/>
        <v>9.375</v>
      </c>
      <c r="G17" s="25" t="s">
        <v>280</v>
      </c>
    </row>
    <row r="18" spans="1:7" ht="31.5" x14ac:dyDescent="0.25">
      <c r="A18" s="25">
        <v>17</v>
      </c>
      <c r="B18" s="162" t="s">
        <v>255</v>
      </c>
      <c r="C18" s="25">
        <v>1</v>
      </c>
      <c r="D18" s="155">
        <v>4.72</v>
      </c>
      <c r="E18" s="26">
        <f t="shared" si="2"/>
        <v>4.72</v>
      </c>
      <c r="F18" s="26">
        <f t="shared" si="3"/>
        <v>0.39333333333333331</v>
      </c>
      <c r="G18" s="25" t="s">
        <v>280</v>
      </c>
    </row>
    <row r="19" spans="1:7" x14ac:dyDescent="0.25">
      <c r="A19" s="25">
        <v>18</v>
      </c>
      <c r="B19" s="162" t="s">
        <v>256</v>
      </c>
      <c r="C19" s="25">
        <v>1</v>
      </c>
      <c r="D19" s="155">
        <v>137.97</v>
      </c>
      <c r="E19" s="26">
        <f t="shared" si="2"/>
        <v>137.97</v>
      </c>
      <c r="F19" s="26">
        <f t="shared" si="3"/>
        <v>11.4975</v>
      </c>
      <c r="G19" s="25" t="s">
        <v>280</v>
      </c>
    </row>
    <row r="20" spans="1:7" ht="78.75" x14ac:dyDescent="0.25">
      <c r="A20" s="25">
        <v>19</v>
      </c>
      <c r="B20" s="162" t="s">
        <v>257</v>
      </c>
      <c r="C20" s="25">
        <v>1</v>
      </c>
      <c r="D20" s="155">
        <v>27.17</v>
      </c>
      <c r="E20" s="26">
        <f t="shared" si="2"/>
        <v>27.17</v>
      </c>
      <c r="F20" s="26">
        <f t="shared" si="3"/>
        <v>2.2641666666666667</v>
      </c>
      <c r="G20" s="25" t="s">
        <v>280</v>
      </c>
    </row>
    <row r="21" spans="1:7" x14ac:dyDescent="0.25">
      <c r="A21" s="25">
        <v>20</v>
      </c>
      <c r="B21" s="162" t="s">
        <v>258</v>
      </c>
      <c r="C21" s="25">
        <v>1</v>
      </c>
      <c r="D21" s="155">
        <v>156.63</v>
      </c>
      <c r="E21" s="26">
        <f t="shared" si="2"/>
        <v>156.63</v>
      </c>
      <c r="F21" s="26">
        <f t="shared" si="3"/>
        <v>13.0525</v>
      </c>
      <c r="G21" s="25" t="s">
        <v>280</v>
      </c>
    </row>
  </sheetData>
  <pageMargins left="0.511811024" right="0.511811024" top="0.78740157499999996" bottom="0.78740157499999996" header="0.31496062000000002" footer="0.31496062000000002"/>
  <pageSetup paperSize="9" fitToHeight="0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workbookViewId="0">
      <selection activeCell="G7" sqref="G7:G11"/>
    </sheetView>
  </sheetViews>
  <sheetFormatPr defaultColWidth="9.140625" defaultRowHeight="15.75" x14ac:dyDescent="0.25"/>
  <cols>
    <col min="1" max="1" width="5.42578125" style="1" bestFit="1" customWidth="1"/>
    <col min="2" max="2" width="36.28515625" style="1" bestFit="1" customWidth="1"/>
    <col min="3" max="3" width="11.85546875" style="1" bestFit="1" customWidth="1"/>
    <col min="4" max="4" width="15.7109375" style="24" bestFit="1" customWidth="1"/>
    <col min="5" max="5" width="11.85546875" style="1" bestFit="1" customWidth="1"/>
    <col min="6" max="6" width="13.7109375" style="1" bestFit="1" customWidth="1"/>
    <col min="7" max="7" width="31.7109375" style="1" customWidth="1"/>
    <col min="8" max="16384" width="9.140625" style="1"/>
  </cols>
  <sheetData>
    <row r="1" spans="1:7" s="28" customFormat="1" x14ac:dyDescent="0.25">
      <c r="A1" s="29" t="s">
        <v>91</v>
      </c>
      <c r="B1" s="29" t="s">
        <v>92</v>
      </c>
      <c r="C1" s="29" t="s">
        <v>93</v>
      </c>
      <c r="D1" s="30" t="s">
        <v>94</v>
      </c>
      <c r="E1" s="29" t="s">
        <v>95</v>
      </c>
      <c r="F1" s="29" t="s">
        <v>96</v>
      </c>
      <c r="G1" s="29" t="s">
        <v>248</v>
      </c>
    </row>
    <row r="2" spans="1:7" s="165" customFormat="1" x14ac:dyDescent="0.25">
      <c r="A2" s="166">
        <v>1</v>
      </c>
      <c r="B2" s="162" t="s">
        <v>262</v>
      </c>
      <c r="C2" s="166">
        <v>1</v>
      </c>
      <c r="D2" s="163">
        <v>32.450000000000003</v>
      </c>
      <c r="E2" s="164">
        <f>C2*D2</f>
        <v>32.450000000000003</v>
      </c>
      <c r="F2" s="164">
        <f>E2/12</f>
        <v>2.7041666666666671</v>
      </c>
      <c r="G2" s="162" t="s">
        <v>175</v>
      </c>
    </row>
    <row r="3" spans="1:7" s="165" customFormat="1" ht="31.5" x14ac:dyDescent="0.25">
      <c r="A3" s="166">
        <v>2</v>
      </c>
      <c r="B3" s="162" t="s">
        <v>263</v>
      </c>
      <c r="C3" s="166">
        <v>1</v>
      </c>
      <c r="D3" s="163">
        <v>1070</v>
      </c>
      <c r="E3" s="164">
        <f t="shared" ref="E3:E6" si="0">C3*D3</f>
        <v>1070</v>
      </c>
      <c r="F3" s="164">
        <f t="shared" ref="F3:F6" si="1">E3/12</f>
        <v>89.166666666666671</v>
      </c>
      <c r="G3" s="162" t="s">
        <v>175</v>
      </c>
    </row>
    <row r="4" spans="1:7" s="165" customFormat="1" x14ac:dyDescent="0.25">
      <c r="A4" s="166">
        <v>3</v>
      </c>
      <c r="B4" s="162" t="s">
        <v>264</v>
      </c>
      <c r="C4" s="166">
        <v>1</v>
      </c>
      <c r="D4" s="163">
        <v>22.3</v>
      </c>
      <c r="E4" s="164">
        <f t="shared" si="0"/>
        <v>22.3</v>
      </c>
      <c r="F4" s="164">
        <f t="shared" si="1"/>
        <v>1.8583333333333334</v>
      </c>
      <c r="G4" s="162" t="s">
        <v>175</v>
      </c>
    </row>
    <row r="5" spans="1:7" s="165" customFormat="1" ht="31.5" x14ac:dyDescent="0.25">
      <c r="A5" s="166">
        <v>4</v>
      </c>
      <c r="B5" s="162" t="s">
        <v>265</v>
      </c>
      <c r="C5" s="166">
        <v>1</v>
      </c>
      <c r="D5" s="163">
        <v>48.97</v>
      </c>
      <c r="E5" s="164">
        <f t="shared" si="0"/>
        <v>48.97</v>
      </c>
      <c r="F5" s="164">
        <f t="shared" si="1"/>
        <v>4.0808333333333335</v>
      </c>
      <c r="G5" s="162" t="s">
        <v>175</v>
      </c>
    </row>
    <row r="6" spans="1:7" s="165" customFormat="1" x14ac:dyDescent="0.25">
      <c r="A6" s="166">
        <v>5</v>
      </c>
      <c r="B6" s="162" t="s">
        <v>266</v>
      </c>
      <c r="C6" s="166">
        <v>1</v>
      </c>
      <c r="D6" s="163">
        <v>53</v>
      </c>
      <c r="E6" s="164">
        <f t="shared" si="0"/>
        <v>53</v>
      </c>
      <c r="F6" s="164">
        <f t="shared" si="1"/>
        <v>4.416666666666667</v>
      </c>
      <c r="G6" s="162" t="s">
        <v>175</v>
      </c>
    </row>
    <row r="7" spans="1:7" x14ac:dyDescent="0.25">
      <c r="A7" s="166">
        <v>11</v>
      </c>
      <c r="B7" s="162" t="s">
        <v>262</v>
      </c>
      <c r="C7" s="166">
        <v>1</v>
      </c>
      <c r="D7" s="163">
        <v>32.450000000000003</v>
      </c>
      <c r="E7" s="164">
        <f>C7*D7</f>
        <v>32.450000000000003</v>
      </c>
      <c r="F7" s="164">
        <f>E7/12</f>
        <v>2.7041666666666671</v>
      </c>
      <c r="G7" s="25" t="s">
        <v>280</v>
      </c>
    </row>
    <row r="8" spans="1:7" ht="31.5" x14ac:dyDescent="0.25">
      <c r="A8" s="166">
        <v>12</v>
      </c>
      <c r="B8" s="162" t="s">
        <v>263</v>
      </c>
      <c r="C8" s="166">
        <v>1</v>
      </c>
      <c r="D8" s="163">
        <v>1070</v>
      </c>
      <c r="E8" s="164">
        <f t="shared" ref="E8:E11" si="2">C8*D8</f>
        <v>1070</v>
      </c>
      <c r="F8" s="164">
        <f t="shared" ref="F8:F11" si="3">E8/12</f>
        <v>89.166666666666671</v>
      </c>
      <c r="G8" s="25" t="s">
        <v>280</v>
      </c>
    </row>
    <row r="9" spans="1:7" x14ac:dyDescent="0.25">
      <c r="A9" s="166">
        <v>13</v>
      </c>
      <c r="B9" s="162" t="s">
        <v>264</v>
      </c>
      <c r="C9" s="166">
        <v>1</v>
      </c>
      <c r="D9" s="163">
        <v>22.3</v>
      </c>
      <c r="E9" s="164">
        <f t="shared" si="2"/>
        <v>22.3</v>
      </c>
      <c r="F9" s="164">
        <f t="shared" si="3"/>
        <v>1.8583333333333334</v>
      </c>
      <c r="G9" s="25" t="s">
        <v>280</v>
      </c>
    </row>
    <row r="10" spans="1:7" ht="31.5" x14ac:dyDescent="0.25">
      <c r="A10" s="166">
        <v>14</v>
      </c>
      <c r="B10" s="162" t="s">
        <v>265</v>
      </c>
      <c r="C10" s="166">
        <v>1</v>
      </c>
      <c r="D10" s="163">
        <v>48.97</v>
      </c>
      <c r="E10" s="164">
        <f t="shared" si="2"/>
        <v>48.97</v>
      </c>
      <c r="F10" s="164">
        <f t="shared" si="3"/>
        <v>4.0808333333333335</v>
      </c>
      <c r="G10" s="25" t="s">
        <v>280</v>
      </c>
    </row>
    <row r="11" spans="1:7" x14ac:dyDescent="0.25">
      <c r="A11" s="166">
        <v>15</v>
      </c>
      <c r="B11" s="162" t="s">
        <v>266</v>
      </c>
      <c r="C11" s="166">
        <v>1</v>
      </c>
      <c r="D11" s="163">
        <v>53</v>
      </c>
      <c r="E11" s="164">
        <f t="shared" si="2"/>
        <v>53</v>
      </c>
      <c r="F11" s="164">
        <f t="shared" si="3"/>
        <v>4.416666666666667</v>
      </c>
      <c r="G11" s="25" t="s">
        <v>280</v>
      </c>
    </row>
  </sheetData>
  <pageMargins left="0.511811024" right="0.511811024" top="0.78740157499999996" bottom="0.78740157499999996" header="0.31496062000000002" footer="0.31496062000000002"/>
  <pageSetup paperSize="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workbookViewId="0">
      <selection activeCell="J2" sqref="J2"/>
    </sheetView>
  </sheetViews>
  <sheetFormatPr defaultColWidth="9.140625" defaultRowHeight="15.75" x14ac:dyDescent="0.25"/>
  <cols>
    <col min="1" max="1" width="9.140625" style="1"/>
    <col min="2" max="2" width="65" style="1" bestFit="1" customWidth="1"/>
    <col min="3" max="3" width="14.7109375" style="1" customWidth="1"/>
    <col min="4" max="4" width="14.5703125" style="1" bestFit="1" customWidth="1"/>
    <col min="5" max="5" width="16.140625" style="1" customWidth="1"/>
    <col min="6" max="6" width="16" style="1" bestFit="1" customWidth="1"/>
    <col min="7" max="7" width="9.140625" style="1"/>
    <col min="8" max="8" width="16.85546875" style="1" bestFit="1" customWidth="1"/>
    <col min="9" max="9" width="13.140625" style="1" bestFit="1" customWidth="1"/>
    <col min="10" max="10" width="29.28515625" style="1" bestFit="1" customWidth="1"/>
    <col min="11" max="16384" width="9.140625" style="1"/>
  </cols>
  <sheetData>
    <row r="1" spans="1:10" s="27" customFormat="1" ht="47.25" x14ac:dyDescent="0.25">
      <c r="A1" s="148" t="s">
        <v>91</v>
      </c>
      <c r="B1" s="148" t="s">
        <v>92</v>
      </c>
      <c r="C1" s="148" t="s">
        <v>97</v>
      </c>
      <c r="D1" s="148" t="s">
        <v>98</v>
      </c>
      <c r="E1" s="148" t="s">
        <v>99</v>
      </c>
      <c r="F1" s="148" t="s">
        <v>100</v>
      </c>
      <c r="G1" s="148" t="s">
        <v>101</v>
      </c>
      <c r="H1" s="148" t="s">
        <v>102</v>
      </c>
      <c r="I1" s="148" t="s">
        <v>103</v>
      </c>
      <c r="J1" s="148" t="s">
        <v>248</v>
      </c>
    </row>
    <row r="2" spans="1:10" ht="78.75" x14ac:dyDescent="0.25">
      <c r="A2" s="157">
        <v>1</v>
      </c>
      <c r="B2" s="156" t="s">
        <v>261</v>
      </c>
      <c r="C2" s="158">
        <v>389.69</v>
      </c>
      <c r="D2" s="157">
        <v>1</v>
      </c>
      <c r="E2" s="159">
        <f t="shared" ref="E2:E5" si="0">C2*D2</f>
        <v>389.69</v>
      </c>
      <c r="F2" s="157">
        <v>60</v>
      </c>
      <c r="G2" s="160"/>
      <c r="H2" s="160">
        <f t="shared" ref="H2:H5" si="1">E2-G2</f>
        <v>389.69</v>
      </c>
      <c r="I2" s="147">
        <f t="shared" ref="I2:I5" si="2">H2/F2</f>
        <v>6.4948333333333332</v>
      </c>
      <c r="J2" s="25" t="s">
        <v>175</v>
      </c>
    </row>
    <row r="3" spans="1:10" ht="31.5" x14ac:dyDescent="0.25">
      <c r="A3" s="157">
        <v>2</v>
      </c>
      <c r="B3" s="156" t="s">
        <v>259</v>
      </c>
      <c r="C3" s="158">
        <v>4577.1899999999996</v>
      </c>
      <c r="D3" s="157">
        <v>1</v>
      </c>
      <c r="E3" s="159">
        <f t="shared" si="0"/>
        <v>4577.1899999999996</v>
      </c>
      <c r="F3" s="157">
        <v>60</v>
      </c>
      <c r="G3" s="160"/>
      <c r="H3" s="160">
        <f t="shared" si="1"/>
        <v>4577.1899999999996</v>
      </c>
      <c r="I3" s="147">
        <f t="shared" si="2"/>
        <v>76.28649999999999</v>
      </c>
      <c r="J3" s="25" t="s">
        <v>280</v>
      </c>
    </row>
    <row r="4" spans="1:10" ht="31.5" x14ac:dyDescent="0.25">
      <c r="A4" s="157">
        <v>3</v>
      </c>
      <c r="B4" s="156" t="s">
        <v>260</v>
      </c>
      <c r="C4" s="158">
        <v>10.11</v>
      </c>
      <c r="D4" s="157">
        <v>1</v>
      </c>
      <c r="E4" s="159">
        <f t="shared" si="0"/>
        <v>10.11</v>
      </c>
      <c r="F4" s="157">
        <v>60</v>
      </c>
      <c r="G4" s="160"/>
      <c r="H4" s="160">
        <f t="shared" si="1"/>
        <v>10.11</v>
      </c>
      <c r="I4" s="147">
        <f t="shared" si="2"/>
        <v>0.16849999999999998</v>
      </c>
      <c r="J4" s="25" t="s">
        <v>280</v>
      </c>
    </row>
    <row r="5" spans="1:10" ht="78.75" x14ac:dyDescent="0.25">
      <c r="A5" s="157">
        <v>4</v>
      </c>
      <c r="B5" s="156" t="s">
        <v>261</v>
      </c>
      <c r="C5" s="158">
        <v>389.69</v>
      </c>
      <c r="D5" s="157">
        <v>1</v>
      </c>
      <c r="E5" s="159">
        <f t="shared" si="0"/>
        <v>389.69</v>
      </c>
      <c r="F5" s="157">
        <v>60</v>
      </c>
      <c r="G5" s="160"/>
      <c r="H5" s="160">
        <f t="shared" si="1"/>
        <v>389.69</v>
      </c>
      <c r="I5" s="147">
        <f t="shared" si="2"/>
        <v>6.4948333333333332</v>
      </c>
      <c r="J5" s="25" t="s">
        <v>280</v>
      </c>
    </row>
  </sheetData>
  <pageMargins left="0.511811024" right="0.511811024" top="0.78740157499999996" bottom="0.78740157499999996" header="0.31496062000000002" footer="0.31496062000000002"/>
  <pageSetup paperSize="9" scale="66" fitToHeight="0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7" sqref="G7"/>
    </sheetView>
  </sheetViews>
  <sheetFormatPr defaultRowHeight="15.75" x14ac:dyDescent="0.25"/>
  <cols>
    <col min="1" max="1" width="5.42578125" bestFit="1" customWidth="1"/>
    <col min="2" max="2" width="39" customWidth="1"/>
    <col min="3" max="3" width="11.85546875" bestFit="1" customWidth="1"/>
    <col min="4" max="4" width="15.7109375" bestFit="1" customWidth="1"/>
    <col min="5" max="5" width="11.85546875" bestFit="1" customWidth="1"/>
    <col min="6" max="6" width="13.7109375" bestFit="1" customWidth="1"/>
    <col min="7" max="7" width="29" style="1" customWidth="1"/>
  </cols>
  <sheetData>
    <row r="1" spans="1:7" x14ac:dyDescent="0.25">
      <c r="A1" s="29" t="s">
        <v>91</v>
      </c>
      <c r="B1" s="29" t="s">
        <v>92</v>
      </c>
      <c r="C1" s="29" t="s">
        <v>93</v>
      </c>
      <c r="D1" s="30" t="s">
        <v>94</v>
      </c>
      <c r="E1" s="29" t="s">
        <v>95</v>
      </c>
      <c r="F1" s="29" t="s">
        <v>96</v>
      </c>
      <c r="G1" s="148" t="s">
        <v>248</v>
      </c>
    </row>
    <row r="2" spans="1:7" ht="31.5" x14ac:dyDescent="0.25">
      <c r="A2" s="167">
        <v>1</v>
      </c>
      <c r="B2" s="162" t="s">
        <v>267</v>
      </c>
      <c r="C2" s="25">
        <v>1</v>
      </c>
      <c r="D2" s="155">
        <v>9.4</v>
      </c>
      <c r="E2" s="26">
        <f t="shared" ref="E2:E7" si="0">D2*C2</f>
        <v>9.4</v>
      </c>
      <c r="F2" s="26">
        <f>E2/12</f>
        <v>0.78333333333333333</v>
      </c>
      <c r="G2" s="25" t="s">
        <v>175</v>
      </c>
    </row>
    <row r="3" spans="1:7" x14ac:dyDescent="0.25">
      <c r="A3" s="167">
        <v>2</v>
      </c>
      <c r="B3" s="162" t="s">
        <v>268</v>
      </c>
      <c r="C3" s="25">
        <v>1</v>
      </c>
      <c r="D3" s="155">
        <v>17.5</v>
      </c>
      <c r="E3" s="26">
        <f t="shared" si="0"/>
        <v>17.5</v>
      </c>
      <c r="F3" s="26">
        <f>E3/12</f>
        <v>1.4583333333333333</v>
      </c>
      <c r="G3" s="25" t="s">
        <v>175</v>
      </c>
    </row>
    <row r="4" spans="1:7" ht="31.5" x14ac:dyDescent="0.25">
      <c r="A4" s="167">
        <v>3</v>
      </c>
      <c r="B4" s="162" t="s">
        <v>269</v>
      </c>
      <c r="C4" s="25">
        <v>1</v>
      </c>
      <c r="D4" s="155">
        <v>4.72</v>
      </c>
      <c r="E4" s="26">
        <f t="shared" si="0"/>
        <v>4.72</v>
      </c>
      <c r="F4" s="26">
        <f t="shared" ref="F4:F7" si="1">E4/12</f>
        <v>0.39333333333333331</v>
      </c>
      <c r="G4" s="25" t="s">
        <v>175</v>
      </c>
    </row>
    <row r="5" spans="1:7" ht="31.5" x14ac:dyDescent="0.25">
      <c r="A5" s="167">
        <v>4</v>
      </c>
      <c r="B5" s="162" t="s">
        <v>267</v>
      </c>
      <c r="C5" s="25">
        <v>1</v>
      </c>
      <c r="D5" s="155">
        <v>9.4</v>
      </c>
      <c r="E5" s="26">
        <f t="shared" si="0"/>
        <v>9.4</v>
      </c>
      <c r="F5" s="26">
        <f t="shared" si="1"/>
        <v>0.78333333333333333</v>
      </c>
      <c r="G5" s="25" t="s">
        <v>280</v>
      </c>
    </row>
    <row r="6" spans="1:7" x14ac:dyDescent="0.25">
      <c r="A6" s="167">
        <v>5</v>
      </c>
      <c r="B6" s="162" t="s">
        <v>268</v>
      </c>
      <c r="C6" s="25">
        <v>1</v>
      </c>
      <c r="D6" s="155">
        <v>17.5</v>
      </c>
      <c r="E6" s="26">
        <f t="shared" si="0"/>
        <v>17.5</v>
      </c>
      <c r="F6" s="26">
        <f t="shared" si="1"/>
        <v>1.4583333333333333</v>
      </c>
      <c r="G6" s="25" t="s">
        <v>280</v>
      </c>
    </row>
    <row r="7" spans="1:7" ht="31.5" x14ac:dyDescent="0.25">
      <c r="A7" s="167">
        <v>6</v>
      </c>
      <c r="B7" s="162" t="s">
        <v>269</v>
      </c>
      <c r="C7" s="25">
        <v>1</v>
      </c>
      <c r="D7" s="155">
        <v>4.72</v>
      </c>
      <c r="E7" s="26">
        <f t="shared" si="0"/>
        <v>4.72</v>
      </c>
      <c r="F7" s="26">
        <f t="shared" si="1"/>
        <v>0.39333333333333331</v>
      </c>
      <c r="G7" s="25" t="s">
        <v>280</v>
      </c>
    </row>
  </sheetData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zoomScaleNormal="100" zoomScaleSheetLayoutView="100" workbookViewId="0">
      <selection activeCell="M31" sqref="M31"/>
    </sheetView>
  </sheetViews>
  <sheetFormatPr defaultRowHeight="12.75" x14ac:dyDescent="0.2"/>
  <cols>
    <col min="1" max="1" width="10.85546875" style="111" customWidth="1"/>
    <col min="2" max="2" width="18.28515625" style="112" customWidth="1"/>
    <col min="3" max="3" width="18.85546875" style="111" customWidth="1"/>
    <col min="4" max="4" width="16.5703125" style="111" customWidth="1"/>
    <col min="5" max="5" width="18.28515625" style="111" customWidth="1"/>
    <col min="6" max="6" width="17.5703125" style="111" customWidth="1"/>
    <col min="7" max="7" width="19" style="84" customWidth="1"/>
    <col min="8" max="10" width="8.7109375" style="84"/>
    <col min="11" max="12" width="10.140625" style="84" bestFit="1" customWidth="1"/>
    <col min="13" max="256" width="8.7109375" style="84"/>
    <col min="257" max="257" width="10.85546875" style="84" customWidth="1"/>
    <col min="258" max="258" width="18.28515625" style="84" customWidth="1"/>
    <col min="259" max="259" width="18.85546875" style="84" customWidth="1"/>
    <col min="260" max="260" width="16.5703125" style="84" customWidth="1"/>
    <col min="261" max="261" width="18.28515625" style="84" customWidth="1"/>
    <col min="262" max="262" width="17.5703125" style="84" customWidth="1"/>
    <col min="263" max="263" width="19" style="84" customWidth="1"/>
    <col min="264" max="512" width="8.7109375" style="84"/>
    <col min="513" max="513" width="10.85546875" style="84" customWidth="1"/>
    <col min="514" max="514" width="18.28515625" style="84" customWidth="1"/>
    <col min="515" max="515" width="18.85546875" style="84" customWidth="1"/>
    <col min="516" max="516" width="16.5703125" style="84" customWidth="1"/>
    <col min="517" max="517" width="18.28515625" style="84" customWidth="1"/>
    <col min="518" max="518" width="17.5703125" style="84" customWidth="1"/>
    <col min="519" max="519" width="19" style="84" customWidth="1"/>
    <col min="520" max="768" width="8.7109375" style="84"/>
    <col min="769" max="769" width="10.85546875" style="84" customWidth="1"/>
    <col min="770" max="770" width="18.28515625" style="84" customWidth="1"/>
    <col min="771" max="771" width="18.85546875" style="84" customWidth="1"/>
    <col min="772" max="772" width="16.5703125" style="84" customWidth="1"/>
    <col min="773" max="773" width="18.28515625" style="84" customWidth="1"/>
    <col min="774" max="774" width="17.5703125" style="84" customWidth="1"/>
    <col min="775" max="775" width="19" style="84" customWidth="1"/>
    <col min="776" max="1024" width="8.7109375" style="84"/>
    <col min="1025" max="1025" width="10.85546875" style="84" customWidth="1"/>
    <col min="1026" max="1026" width="18.28515625" style="84" customWidth="1"/>
    <col min="1027" max="1027" width="18.85546875" style="84" customWidth="1"/>
    <col min="1028" max="1028" width="16.5703125" style="84" customWidth="1"/>
    <col min="1029" max="1029" width="18.28515625" style="84" customWidth="1"/>
    <col min="1030" max="1030" width="17.5703125" style="84" customWidth="1"/>
    <col min="1031" max="1031" width="19" style="84" customWidth="1"/>
    <col min="1032" max="1280" width="8.7109375" style="84"/>
    <col min="1281" max="1281" width="10.85546875" style="84" customWidth="1"/>
    <col min="1282" max="1282" width="18.28515625" style="84" customWidth="1"/>
    <col min="1283" max="1283" width="18.85546875" style="84" customWidth="1"/>
    <col min="1284" max="1284" width="16.5703125" style="84" customWidth="1"/>
    <col min="1285" max="1285" width="18.28515625" style="84" customWidth="1"/>
    <col min="1286" max="1286" width="17.5703125" style="84" customWidth="1"/>
    <col min="1287" max="1287" width="19" style="84" customWidth="1"/>
    <col min="1288" max="1536" width="8.7109375" style="84"/>
    <col min="1537" max="1537" width="10.85546875" style="84" customWidth="1"/>
    <col min="1538" max="1538" width="18.28515625" style="84" customWidth="1"/>
    <col min="1539" max="1539" width="18.85546875" style="84" customWidth="1"/>
    <col min="1540" max="1540" width="16.5703125" style="84" customWidth="1"/>
    <col min="1541" max="1541" width="18.28515625" style="84" customWidth="1"/>
    <col min="1542" max="1542" width="17.5703125" style="84" customWidth="1"/>
    <col min="1543" max="1543" width="19" style="84" customWidth="1"/>
    <col min="1544" max="1792" width="8.7109375" style="84"/>
    <col min="1793" max="1793" width="10.85546875" style="84" customWidth="1"/>
    <col min="1794" max="1794" width="18.28515625" style="84" customWidth="1"/>
    <col min="1795" max="1795" width="18.85546875" style="84" customWidth="1"/>
    <col min="1796" max="1796" width="16.5703125" style="84" customWidth="1"/>
    <col min="1797" max="1797" width="18.28515625" style="84" customWidth="1"/>
    <col min="1798" max="1798" width="17.5703125" style="84" customWidth="1"/>
    <col min="1799" max="1799" width="19" style="84" customWidth="1"/>
    <col min="1800" max="2048" width="8.7109375" style="84"/>
    <col min="2049" max="2049" width="10.85546875" style="84" customWidth="1"/>
    <col min="2050" max="2050" width="18.28515625" style="84" customWidth="1"/>
    <col min="2051" max="2051" width="18.85546875" style="84" customWidth="1"/>
    <col min="2052" max="2052" width="16.5703125" style="84" customWidth="1"/>
    <col min="2053" max="2053" width="18.28515625" style="84" customWidth="1"/>
    <col min="2054" max="2054" width="17.5703125" style="84" customWidth="1"/>
    <col min="2055" max="2055" width="19" style="84" customWidth="1"/>
    <col min="2056" max="2304" width="8.7109375" style="84"/>
    <col min="2305" max="2305" width="10.85546875" style="84" customWidth="1"/>
    <col min="2306" max="2306" width="18.28515625" style="84" customWidth="1"/>
    <col min="2307" max="2307" width="18.85546875" style="84" customWidth="1"/>
    <col min="2308" max="2308" width="16.5703125" style="84" customWidth="1"/>
    <col min="2309" max="2309" width="18.28515625" style="84" customWidth="1"/>
    <col min="2310" max="2310" width="17.5703125" style="84" customWidth="1"/>
    <col min="2311" max="2311" width="19" style="84" customWidth="1"/>
    <col min="2312" max="2560" width="8.7109375" style="84"/>
    <col min="2561" max="2561" width="10.85546875" style="84" customWidth="1"/>
    <col min="2562" max="2562" width="18.28515625" style="84" customWidth="1"/>
    <col min="2563" max="2563" width="18.85546875" style="84" customWidth="1"/>
    <col min="2564" max="2564" width="16.5703125" style="84" customWidth="1"/>
    <col min="2565" max="2565" width="18.28515625" style="84" customWidth="1"/>
    <col min="2566" max="2566" width="17.5703125" style="84" customWidth="1"/>
    <col min="2567" max="2567" width="19" style="84" customWidth="1"/>
    <col min="2568" max="2816" width="8.7109375" style="84"/>
    <col min="2817" max="2817" width="10.85546875" style="84" customWidth="1"/>
    <col min="2818" max="2818" width="18.28515625" style="84" customWidth="1"/>
    <col min="2819" max="2819" width="18.85546875" style="84" customWidth="1"/>
    <col min="2820" max="2820" width="16.5703125" style="84" customWidth="1"/>
    <col min="2821" max="2821" width="18.28515625" style="84" customWidth="1"/>
    <col min="2822" max="2822" width="17.5703125" style="84" customWidth="1"/>
    <col min="2823" max="2823" width="19" style="84" customWidth="1"/>
    <col min="2824" max="3072" width="8.7109375" style="84"/>
    <col min="3073" max="3073" width="10.85546875" style="84" customWidth="1"/>
    <col min="3074" max="3074" width="18.28515625" style="84" customWidth="1"/>
    <col min="3075" max="3075" width="18.85546875" style="84" customWidth="1"/>
    <col min="3076" max="3076" width="16.5703125" style="84" customWidth="1"/>
    <col min="3077" max="3077" width="18.28515625" style="84" customWidth="1"/>
    <col min="3078" max="3078" width="17.5703125" style="84" customWidth="1"/>
    <col min="3079" max="3079" width="19" style="84" customWidth="1"/>
    <col min="3080" max="3328" width="8.7109375" style="84"/>
    <col min="3329" max="3329" width="10.85546875" style="84" customWidth="1"/>
    <col min="3330" max="3330" width="18.28515625" style="84" customWidth="1"/>
    <col min="3331" max="3331" width="18.85546875" style="84" customWidth="1"/>
    <col min="3332" max="3332" width="16.5703125" style="84" customWidth="1"/>
    <col min="3333" max="3333" width="18.28515625" style="84" customWidth="1"/>
    <col min="3334" max="3334" width="17.5703125" style="84" customWidth="1"/>
    <col min="3335" max="3335" width="19" style="84" customWidth="1"/>
    <col min="3336" max="3584" width="8.7109375" style="84"/>
    <col min="3585" max="3585" width="10.85546875" style="84" customWidth="1"/>
    <col min="3586" max="3586" width="18.28515625" style="84" customWidth="1"/>
    <col min="3587" max="3587" width="18.85546875" style="84" customWidth="1"/>
    <col min="3588" max="3588" width="16.5703125" style="84" customWidth="1"/>
    <col min="3589" max="3589" width="18.28515625" style="84" customWidth="1"/>
    <col min="3590" max="3590" width="17.5703125" style="84" customWidth="1"/>
    <col min="3591" max="3591" width="19" style="84" customWidth="1"/>
    <col min="3592" max="3840" width="8.7109375" style="84"/>
    <col min="3841" max="3841" width="10.85546875" style="84" customWidth="1"/>
    <col min="3842" max="3842" width="18.28515625" style="84" customWidth="1"/>
    <col min="3843" max="3843" width="18.85546875" style="84" customWidth="1"/>
    <col min="3844" max="3844" width="16.5703125" style="84" customWidth="1"/>
    <col min="3845" max="3845" width="18.28515625" style="84" customWidth="1"/>
    <col min="3846" max="3846" width="17.5703125" style="84" customWidth="1"/>
    <col min="3847" max="3847" width="19" style="84" customWidth="1"/>
    <col min="3848" max="4096" width="8.7109375" style="84"/>
    <col min="4097" max="4097" width="10.85546875" style="84" customWidth="1"/>
    <col min="4098" max="4098" width="18.28515625" style="84" customWidth="1"/>
    <col min="4099" max="4099" width="18.85546875" style="84" customWidth="1"/>
    <col min="4100" max="4100" width="16.5703125" style="84" customWidth="1"/>
    <col min="4101" max="4101" width="18.28515625" style="84" customWidth="1"/>
    <col min="4102" max="4102" width="17.5703125" style="84" customWidth="1"/>
    <col min="4103" max="4103" width="19" style="84" customWidth="1"/>
    <col min="4104" max="4352" width="8.7109375" style="84"/>
    <col min="4353" max="4353" width="10.85546875" style="84" customWidth="1"/>
    <col min="4354" max="4354" width="18.28515625" style="84" customWidth="1"/>
    <col min="4355" max="4355" width="18.85546875" style="84" customWidth="1"/>
    <col min="4356" max="4356" width="16.5703125" style="84" customWidth="1"/>
    <col min="4357" max="4357" width="18.28515625" style="84" customWidth="1"/>
    <col min="4358" max="4358" width="17.5703125" style="84" customWidth="1"/>
    <col min="4359" max="4359" width="19" style="84" customWidth="1"/>
    <col min="4360" max="4608" width="8.7109375" style="84"/>
    <col min="4609" max="4609" width="10.85546875" style="84" customWidth="1"/>
    <col min="4610" max="4610" width="18.28515625" style="84" customWidth="1"/>
    <col min="4611" max="4611" width="18.85546875" style="84" customWidth="1"/>
    <col min="4612" max="4612" width="16.5703125" style="84" customWidth="1"/>
    <col min="4613" max="4613" width="18.28515625" style="84" customWidth="1"/>
    <col min="4614" max="4614" width="17.5703125" style="84" customWidth="1"/>
    <col min="4615" max="4615" width="19" style="84" customWidth="1"/>
    <col min="4616" max="4864" width="8.7109375" style="84"/>
    <col min="4865" max="4865" width="10.85546875" style="84" customWidth="1"/>
    <col min="4866" max="4866" width="18.28515625" style="84" customWidth="1"/>
    <col min="4867" max="4867" width="18.85546875" style="84" customWidth="1"/>
    <col min="4868" max="4868" width="16.5703125" style="84" customWidth="1"/>
    <col min="4869" max="4869" width="18.28515625" style="84" customWidth="1"/>
    <col min="4870" max="4870" width="17.5703125" style="84" customWidth="1"/>
    <col min="4871" max="4871" width="19" style="84" customWidth="1"/>
    <col min="4872" max="5120" width="8.7109375" style="84"/>
    <col min="5121" max="5121" width="10.85546875" style="84" customWidth="1"/>
    <col min="5122" max="5122" width="18.28515625" style="84" customWidth="1"/>
    <col min="5123" max="5123" width="18.85546875" style="84" customWidth="1"/>
    <col min="5124" max="5124" width="16.5703125" style="84" customWidth="1"/>
    <col min="5125" max="5125" width="18.28515625" style="84" customWidth="1"/>
    <col min="5126" max="5126" width="17.5703125" style="84" customWidth="1"/>
    <col min="5127" max="5127" width="19" style="84" customWidth="1"/>
    <col min="5128" max="5376" width="8.7109375" style="84"/>
    <col min="5377" max="5377" width="10.85546875" style="84" customWidth="1"/>
    <col min="5378" max="5378" width="18.28515625" style="84" customWidth="1"/>
    <col min="5379" max="5379" width="18.85546875" style="84" customWidth="1"/>
    <col min="5380" max="5380" width="16.5703125" style="84" customWidth="1"/>
    <col min="5381" max="5381" width="18.28515625" style="84" customWidth="1"/>
    <col min="5382" max="5382" width="17.5703125" style="84" customWidth="1"/>
    <col min="5383" max="5383" width="19" style="84" customWidth="1"/>
    <col min="5384" max="5632" width="8.7109375" style="84"/>
    <col min="5633" max="5633" width="10.85546875" style="84" customWidth="1"/>
    <col min="5634" max="5634" width="18.28515625" style="84" customWidth="1"/>
    <col min="5635" max="5635" width="18.85546875" style="84" customWidth="1"/>
    <col min="5636" max="5636" width="16.5703125" style="84" customWidth="1"/>
    <col min="5637" max="5637" width="18.28515625" style="84" customWidth="1"/>
    <col min="5638" max="5638" width="17.5703125" style="84" customWidth="1"/>
    <col min="5639" max="5639" width="19" style="84" customWidth="1"/>
    <col min="5640" max="5888" width="8.7109375" style="84"/>
    <col min="5889" max="5889" width="10.85546875" style="84" customWidth="1"/>
    <col min="5890" max="5890" width="18.28515625" style="84" customWidth="1"/>
    <col min="5891" max="5891" width="18.85546875" style="84" customWidth="1"/>
    <col min="5892" max="5892" width="16.5703125" style="84" customWidth="1"/>
    <col min="5893" max="5893" width="18.28515625" style="84" customWidth="1"/>
    <col min="5894" max="5894" width="17.5703125" style="84" customWidth="1"/>
    <col min="5895" max="5895" width="19" style="84" customWidth="1"/>
    <col min="5896" max="6144" width="8.7109375" style="84"/>
    <col min="6145" max="6145" width="10.85546875" style="84" customWidth="1"/>
    <col min="6146" max="6146" width="18.28515625" style="84" customWidth="1"/>
    <col min="6147" max="6147" width="18.85546875" style="84" customWidth="1"/>
    <col min="6148" max="6148" width="16.5703125" style="84" customWidth="1"/>
    <col min="6149" max="6149" width="18.28515625" style="84" customWidth="1"/>
    <col min="6150" max="6150" width="17.5703125" style="84" customWidth="1"/>
    <col min="6151" max="6151" width="19" style="84" customWidth="1"/>
    <col min="6152" max="6400" width="8.7109375" style="84"/>
    <col min="6401" max="6401" width="10.85546875" style="84" customWidth="1"/>
    <col min="6402" max="6402" width="18.28515625" style="84" customWidth="1"/>
    <col min="6403" max="6403" width="18.85546875" style="84" customWidth="1"/>
    <col min="6404" max="6404" width="16.5703125" style="84" customWidth="1"/>
    <col min="6405" max="6405" width="18.28515625" style="84" customWidth="1"/>
    <col min="6406" max="6406" width="17.5703125" style="84" customWidth="1"/>
    <col min="6407" max="6407" width="19" style="84" customWidth="1"/>
    <col min="6408" max="6656" width="8.7109375" style="84"/>
    <col min="6657" max="6657" width="10.85546875" style="84" customWidth="1"/>
    <col min="6658" max="6658" width="18.28515625" style="84" customWidth="1"/>
    <col min="6659" max="6659" width="18.85546875" style="84" customWidth="1"/>
    <col min="6660" max="6660" width="16.5703125" style="84" customWidth="1"/>
    <col min="6661" max="6661" width="18.28515625" style="84" customWidth="1"/>
    <col min="6662" max="6662" width="17.5703125" style="84" customWidth="1"/>
    <col min="6663" max="6663" width="19" style="84" customWidth="1"/>
    <col min="6664" max="6912" width="8.7109375" style="84"/>
    <col min="6913" max="6913" width="10.85546875" style="84" customWidth="1"/>
    <col min="6914" max="6914" width="18.28515625" style="84" customWidth="1"/>
    <col min="6915" max="6915" width="18.85546875" style="84" customWidth="1"/>
    <col min="6916" max="6916" width="16.5703125" style="84" customWidth="1"/>
    <col min="6917" max="6917" width="18.28515625" style="84" customWidth="1"/>
    <col min="6918" max="6918" width="17.5703125" style="84" customWidth="1"/>
    <col min="6919" max="6919" width="19" style="84" customWidth="1"/>
    <col min="6920" max="7168" width="8.7109375" style="84"/>
    <col min="7169" max="7169" width="10.85546875" style="84" customWidth="1"/>
    <col min="7170" max="7170" width="18.28515625" style="84" customWidth="1"/>
    <col min="7171" max="7171" width="18.85546875" style="84" customWidth="1"/>
    <col min="7172" max="7172" width="16.5703125" style="84" customWidth="1"/>
    <col min="7173" max="7173" width="18.28515625" style="84" customWidth="1"/>
    <col min="7174" max="7174" width="17.5703125" style="84" customWidth="1"/>
    <col min="7175" max="7175" width="19" style="84" customWidth="1"/>
    <col min="7176" max="7424" width="8.7109375" style="84"/>
    <col min="7425" max="7425" width="10.85546875" style="84" customWidth="1"/>
    <col min="7426" max="7426" width="18.28515625" style="84" customWidth="1"/>
    <col min="7427" max="7427" width="18.85546875" style="84" customWidth="1"/>
    <col min="7428" max="7428" width="16.5703125" style="84" customWidth="1"/>
    <col min="7429" max="7429" width="18.28515625" style="84" customWidth="1"/>
    <col min="7430" max="7430" width="17.5703125" style="84" customWidth="1"/>
    <col min="7431" max="7431" width="19" style="84" customWidth="1"/>
    <col min="7432" max="7680" width="8.7109375" style="84"/>
    <col min="7681" max="7681" width="10.85546875" style="84" customWidth="1"/>
    <col min="7682" max="7682" width="18.28515625" style="84" customWidth="1"/>
    <col min="7683" max="7683" width="18.85546875" style="84" customWidth="1"/>
    <col min="7684" max="7684" width="16.5703125" style="84" customWidth="1"/>
    <col min="7685" max="7685" width="18.28515625" style="84" customWidth="1"/>
    <col min="7686" max="7686" width="17.5703125" style="84" customWidth="1"/>
    <col min="7687" max="7687" width="19" style="84" customWidth="1"/>
    <col min="7688" max="7936" width="8.7109375" style="84"/>
    <col min="7937" max="7937" width="10.85546875" style="84" customWidth="1"/>
    <col min="7938" max="7938" width="18.28515625" style="84" customWidth="1"/>
    <col min="7939" max="7939" width="18.85546875" style="84" customWidth="1"/>
    <col min="7940" max="7940" width="16.5703125" style="84" customWidth="1"/>
    <col min="7941" max="7941" width="18.28515625" style="84" customWidth="1"/>
    <col min="7942" max="7942" width="17.5703125" style="84" customWidth="1"/>
    <col min="7943" max="7943" width="19" style="84" customWidth="1"/>
    <col min="7944" max="8192" width="8.7109375" style="84"/>
    <col min="8193" max="8193" width="10.85546875" style="84" customWidth="1"/>
    <col min="8194" max="8194" width="18.28515625" style="84" customWidth="1"/>
    <col min="8195" max="8195" width="18.85546875" style="84" customWidth="1"/>
    <col min="8196" max="8196" width="16.5703125" style="84" customWidth="1"/>
    <col min="8197" max="8197" width="18.28515625" style="84" customWidth="1"/>
    <col min="8198" max="8198" width="17.5703125" style="84" customWidth="1"/>
    <col min="8199" max="8199" width="19" style="84" customWidth="1"/>
    <col min="8200" max="8448" width="8.7109375" style="84"/>
    <col min="8449" max="8449" width="10.85546875" style="84" customWidth="1"/>
    <col min="8450" max="8450" width="18.28515625" style="84" customWidth="1"/>
    <col min="8451" max="8451" width="18.85546875" style="84" customWidth="1"/>
    <col min="8452" max="8452" width="16.5703125" style="84" customWidth="1"/>
    <col min="8453" max="8453" width="18.28515625" style="84" customWidth="1"/>
    <col min="8454" max="8454" width="17.5703125" style="84" customWidth="1"/>
    <col min="8455" max="8455" width="19" style="84" customWidth="1"/>
    <col min="8456" max="8704" width="8.7109375" style="84"/>
    <col min="8705" max="8705" width="10.85546875" style="84" customWidth="1"/>
    <col min="8706" max="8706" width="18.28515625" style="84" customWidth="1"/>
    <col min="8707" max="8707" width="18.85546875" style="84" customWidth="1"/>
    <col min="8708" max="8708" width="16.5703125" style="84" customWidth="1"/>
    <col min="8709" max="8709" width="18.28515625" style="84" customWidth="1"/>
    <col min="8710" max="8710" width="17.5703125" style="84" customWidth="1"/>
    <col min="8711" max="8711" width="19" style="84" customWidth="1"/>
    <col min="8712" max="8960" width="8.7109375" style="84"/>
    <col min="8961" max="8961" width="10.85546875" style="84" customWidth="1"/>
    <col min="8962" max="8962" width="18.28515625" style="84" customWidth="1"/>
    <col min="8963" max="8963" width="18.85546875" style="84" customWidth="1"/>
    <col min="8964" max="8964" width="16.5703125" style="84" customWidth="1"/>
    <col min="8965" max="8965" width="18.28515625" style="84" customWidth="1"/>
    <col min="8966" max="8966" width="17.5703125" style="84" customWidth="1"/>
    <col min="8967" max="8967" width="19" style="84" customWidth="1"/>
    <col min="8968" max="9216" width="8.7109375" style="84"/>
    <col min="9217" max="9217" width="10.85546875" style="84" customWidth="1"/>
    <col min="9218" max="9218" width="18.28515625" style="84" customWidth="1"/>
    <col min="9219" max="9219" width="18.85546875" style="84" customWidth="1"/>
    <col min="9220" max="9220" width="16.5703125" style="84" customWidth="1"/>
    <col min="9221" max="9221" width="18.28515625" style="84" customWidth="1"/>
    <col min="9222" max="9222" width="17.5703125" style="84" customWidth="1"/>
    <col min="9223" max="9223" width="19" style="84" customWidth="1"/>
    <col min="9224" max="9472" width="8.7109375" style="84"/>
    <col min="9473" max="9473" width="10.85546875" style="84" customWidth="1"/>
    <col min="9474" max="9474" width="18.28515625" style="84" customWidth="1"/>
    <col min="9475" max="9475" width="18.85546875" style="84" customWidth="1"/>
    <col min="9476" max="9476" width="16.5703125" style="84" customWidth="1"/>
    <col min="9477" max="9477" width="18.28515625" style="84" customWidth="1"/>
    <col min="9478" max="9478" width="17.5703125" style="84" customWidth="1"/>
    <col min="9479" max="9479" width="19" style="84" customWidth="1"/>
    <col min="9480" max="9728" width="8.7109375" style="84"/>
    <col min="9729" max="9729" width="10.85546875" style="84" customWidth="1"/>
    <col min="9730" max="9730" width="18.28515625" style="84" customWidth="1"/>
    <col min="9731" max="9731" width="18.85546875" style="84" customWidth="1"/>
    <col min="9732" max="9732" width="16.5703125" style="84" customWidth="1"/>
    <col min="9733" max="9733" width="18.28515625" style="84" customWidth="1"/>
    <col min="9734" max="9734" width="17.5703125" style="84" customWidth="1"/>
    <col min="9735" max="9735" width="19" style="84" customWidth="1"/>
    <col min="9736" max="9984" width="8.7109375" style="84"/>
    <col min="9985" max="9985" width="10.85546875" style="84" customWidth="1"/>
    <col min="9986" max="9986" width="18.28515625" style="84" customWidth="1"/>
    <col min="9987" max="9987" width="18.85546875" style="84" customWidth="1"/>
    <col min="9988" max="9988" width="16.5703125" style="84" customWidth="1"/>
    <col min="9989" max="9989" width="18.28515625" style="84" customWidth="1"/>
    <col min="9990" max="9990" width="17.5703125" style="84" customWidth="1"/>
    <col min="9991" max="9991" width="19" style="84" customWidth="1"/>
    <col min="9992" max="10240" width="8.7109375" style="84"/>
    <col min="10241" max="10241" width="10.85546875" style="84" customWidth="1"/>
    <col min="10242" max="10242" width="18.28515625" style="84" customWidth="1"/>
    <col min="10243" max="10243" width="18.85546875" style="84" customWidth="1"/>
    <col min="10244" max="10244" width="16.5703125" style="84" customWidth="1"/>
    <col min="10245" max="10245" width="18.28515625" style="84" customWidth="1"/>
    <col min="10246" max="10246" width="17.5703125" style="84" customWidth="1"/>
    <col min="10247" max="10247" width="19" style="84" customWidth="1"/>
    <col min="10248" max="10496" width="8.7109375" style="84"/>
    <col min="10497" max="10497" width="10.85546875" style="84" customWidth="1"/>
    <col min="10498" max="10498" width="18.28515625" style="84" customWidth="1"/>
    <col min="10499" max="10499" width="18.85546875" style="84" customWidth="1"/>
    <col min="10500" max="10500" width="16.5703125" style="84" customWidth="1"/>
    <col min="10501" max="10501" width="18.28515625" style="84" customWidth="1"/>
    <col min="10502" max="10502" width="17.5703125" style="84" customWidth="1"/>
    <col min="10503" max="10503" width="19" style="84" customWidth="1"/>
    <col min="10504" max="10752" width="8.7109375" style="84"/>
    <col min="10753" max="10753" width="10.85546875" style="84" customWidth="1"/>
    <col min="10754" max="10754" width="18.28515625" style="84" customWidth="1"/>
    <col min="10755" max="10755" width="18.85546875" style="84" customWidth="1"/>
    <col min="10756" max="10756" width="16.5703125" style="84" customWidth="1"/>
    <col min="10757" max="10757" width="18.28515625" style="84" customWidth="1"/>
    <col min="10758" max="10758" width="17.5703125" style="84" customWidth="1"/>
    <col min="10759" max="10759" width="19" style="84" customWidth="1"/>
    <col min="10760" max="11008" width="8.7109375" style="84"/>
    <col min="11009" max="11009" width="10.85546875" style="84" customWidth="1"/>
    <col min="11010" max="11010" width="18.28515625" style="84" customWidth="1"/>
    <col min="11011" max="11011" width="18.85546875" style="84" customWidth="1"/>
    <col min="11012" max="11012" width="16.5703125" style="84" customWidth="1"/>
    <col min="11013" max="11013" width="18.28515625" style="84" customWidth="1"/>
    <col min="11014" max="11014" width="17.5703125" style="84" customWidth="1"/>
    <col min="11015" max="11015" width="19" style="84" customWidth="1"/>
    <col min="11016" max="11264" width="8.7109375" style="84"/>
    <col min="11265" max="11265" width="10.85546875" style="84" customWidth="1"/>
    <col min="11266" max="11266" width="18.28515625" style="84" customWidth="1"/>
    <col min="11267" max="11267" width="18.85546875" style="84" customWidth="1"/>
    <col min="11268" max="11268" width="16.5703125" style="84" customWidth="1"/>
    <col min="11269" max="11269" width="18.28515625" style="84" customWidth="1"/>
    <col min="11270" max="11270" width="17.5703125" style="84" customWidth="1"/>
    <col min="11271" max="11271" width="19" style="84" customWidth="1"/>
    <col min="11272" max="11520" width="8.7109375" style="84"/>
    <col min="11521" max="11521" width="10.85546875" style="84" customWidth="1"/>
    <col min="11522" max="11522" width="18.28515625" style="84" customWidth="1"/>
    <col min="11523" max="11523" width="18.85546875" style="84" customWidth="1"/>
    <col min="11524" max="11524" width="16.5703125" style="84" customWidth="1"/>
    <col min="11525" max="11525" width="18.28515625" style="84" customWidth="1"/>
    <col min="11526" max="11526" width="17.5703125" style="84" customWidth="1"/>
    <col min="11527" max="11527" width="19" style="84" customWidth="1"/>
    <col min="11528" max="11776" width="8.7109375" style="84"/>
    <col min="11777" max="11777" width="10.85546875" style="84" customWidth="1"/>
    <col min="11778" max="11778" width="18.28515625" style="84" customWidth="1"/>
    <col min="11779" max="11779" width="18.85546875" style="84" customWidth="1"/>
    <col min="11780" max="11780" width="16.5703125" style="84" customWidth="1"/>
    <col min="11781" max="11781" width="18.28515625" style="84" customWidth="1"/>
    <col min="11782" max="11782" width="17.5703125" style="84" customWidth="1"/>
    <col min="11783" max="11783" width="19" style="84" customWidth="1"/>
    <col min="11784" max="12032" width="8.7109375" style="84"/>
    <col min="12033" max="12033" width="10.85546875" style="84" customWidth="1"/>
    <col min="12034" max="12034" width="18.28515625" style="84" customWidth="1"/>
    <col min="12035" max="12035" width="18.85546875" style="84" customWidth="1"/>
    <col min="12036" max="12036" width="16.5703125" style="84" customWidth="1"/>
    <col min="12037" max="12037" width="18.28515625" style="84" customWidth="1"/>
    <col min="12038" max="12038" width="17.5703125" style="84" customWidth="1"/>
    <col min="12039" max="12039" width="19" style="84" customWidth="1"/>
    <col min="12040" max="12288" width="8.7109375" style="84"/>
    <col min="12289" max="12289" width="10.85546875" style="84" customWidth="1"/>
    <col min="12290" max="12290" width="18.28515625" style="84" customWidth="1"/>
    <col min="12291" max="12291" width="18.85546875" style="84" customWidth="1"/>
    <col min="12292" max="12292" width="16.5703125" style="84" customWidth="1"/>
    <col min="12293" max="12293" width="18.28515625" style="84" customWidth="1"/>
    <col min="12294" max="12294" width="17.5703125" style="84" customWidth="1"/>
    <col min="12295" max="12295" width="19" style="84" customWidth="1"/>
    <col min="12296" max="12544" width="8.7109375" style="84"/>
    <col min="12545" max="12545" width="10.85546875" style="84" customWidth="1"/>
    <col min="12546" max="12546" width="18.28515625" style="84" customWidth="1"/>
    <col min="12547" max="12547" width="18.85546875" style="84" customWidth="1"/>
    <col min="12548" max="12548" width="16.5703125" style="84" customWidth="1"/>
    <col min="12549" max="12549" width="18.28515625" style="84" customWidth="1"/>
    <col min="12550" max="12550" width="17.5703125" style="84" customWidth="1"/>
    <col min="12551" max="12551" width="19" style="84" customWidth="1"/>
    <col min="12552" max="12800" width="8.7109375" style="84"/>
    <col min="12801" max="12801" width="10.85546875" style="84" customWidth="1"/>
    <col min="12802" max="12802" width="18.28515625" style="84" customWidth="1"/>
    <col min="12803" max="12803" width="18.85546875" style="84" customWidth="1"/>
    <col min="12804" max="12804" width="16.5703125" style="84" customWidth="1"/>
    <col min="12805" max="12805" width="18.28515625" style="84" customWidth="1"/>
    <col min="12806" max="12806" width="17.5703125" style="84" customWidth="1"/>
    <col min="12807" max="12807" width="19" style="84" customWidth="1"/>
    <col min="12808" max="13056" width="8.7109375" style="84"/>
    <col min="13057" max="13057" width="10.85546875" style="84" customWidth="1"/>
    <col min="13058" max="13058" width="18.28515625" style="84" customWidth="1"/>
    <col min="13059" max="13059" width="18.85546875" style="84" customWidth="1"/>
    <col min="13060" max="13060" width="16.5703125" style="84" customWidth="1"/>
    <col min="13061" max="13061" width="18.28515625" style="84" customWidth="1"/>
    <col min="13062" max="13062" width="17.5703125" style="84" customWidth="1"/>
    <col min="13063" max="13063" width="19" style="84" customWidth="1"/>
    <col min="13064" max="13312" width="8.7109375" style="84"/>
    <col min="13313" max="13313" width="10.85546875" style="84" customWidth="1"/>
    <col min="13314" max="13314" width="18.28515625" style="84" customWidth="1"/>
    <col min="13315" max="13315" width="18.85546875" style="84" customWidth="1"/>
    <col min="13316" max="13316" width="16.5703125" style="84" customWidth="1"/>
    <col min="13317" max="13317" width="18.28515625" style="84" customWidth="1"/>
    <col min="13318" max="13318" width="17.5703125" style="84" customWidth="1"/>
    <col min="13319" max="13319" width="19" style="84" customWidth="1"/>
    <col min="13320" max="13568" width="8.7109375" style="84"/>
    <col min="13569" max="13569" width="10.85546875" style="84" customWidth="1"/>
    <col min="13570" max="13570" width="18.28515625" style="84" customWidth="1"/>
    <col min="13571" max="13571" width="18.85546875" style="84" customWidth="1"/>
    <col min="13572" max="13572" width="16.5703125" style="84" customWidth="1"/>
    <col min="13573" max="13573" width="18.28515625" style="84" customWidth="1"/>
    <col min="13574" max="13574" width="17.5703125" style="84" customWidth="1"/>
    <col min="13575" max="13575" width="19" style="84" customWidth="1"/>
    <col min="13576" max="13824" width="8.7109375" style="84"/>
    <col min="13825" max="13825" width="10.85546875" style="84" customWidth="1"/>
    <col min="13826" max="13826" width="18.28515625" style="84" customWidth="1"/>
    <col min="13827" max="13827" width="18.85546875" style="84" customWidth="1"/>
    <col min="13828" max="13828" width="16.5703125" style="84" customWidth="1"/>
    <col min="13829" max="13829" width="18.28515625" style="84" customWidth="1"/>
    <col min="13830" max="13830" width="17.5703125" style="84" customWidth="1"/>
    <col min="13831" max="13831" width="19" style="84" customWidth="1"/>
    <col min="13832" max="14080" width="8.7109375" style="84"/>
    <col min="14081" max="14081" width="10.85546875" style="84" customWidth="1"/>
    <col min="14082" max="14082" width="18.28515625" style="84" customWidth="1"/>
    <col min="14083" max="14083" width="18.85546875" style="84" customWidth="1"/>
    <col min="14084" max="14084" width="16.5703125" style="84" customWidth="1"/>
    <col min="14085" max="14085" width="18.28515625" style="84" customWidth="1"/>
    <col min="14086" max="14086" width="17.5703125" style="84" customWidth="1"/>
    <col min="14087" max="14087" width="19" style="84" customWidth="1"/>
    <col min="14088" max="14336" width="8.7109375" style="84"/>
    <col min="14337" max="14337" width="10.85546875" style="84" customWidth="1"/>
    <col min="14338" max="14338" width="18.28515625" style="84" customWidth="1"/>
    <col min="14339" max="14339" width="18.85546875" style="84" customWidth="1"/>
    <col min="14340" max="14340" width="16.5703125" style="84" customWidth="1"/>
    <col min="14341" max="14341" width="18.28515625" style="84" customWidth="1"/>
    <col min="14342" max="14342" width="17.5703125" style="84" customWidth="1"/>
    <col min="14343" max="14343" width="19" style="84" customWidth="1"/>
    <col min="14344" max="14592" width="8.7109375" style="84"/>
    <col min="14593" max="14593" width="10.85546875" style="84" customWidth="1"/>
    <col min="14594" max="14594" width="18.28515625" style="84" customWidth="1"/>
    <col min="14595" max="14595" width="18.85546875" style="84" customWidth="1"/>
    <col min="14596" max="14596" width="16.5703125" style="84" customWidth="1"/>
    <col min="14597" max="14597" width="18.28515625" style="84" customWidth="1"/>
    <col min="14598" max="14598" width="17.5703125" style="84" customWidth="1"/>
    <col min="14599" max="14599" width="19" style="84" customWidth="1"/>
    <col min="14600" max="14848" width="8.7109375" style="84"/>
    <col min="14849" max="14849" width="10.85546875" style="84" customWidth="1"/>
    <col min="14850" max="14850" width="18.28515625" style="84" customWidth="1"/>
    <col min="14851" max="14851" width="18.85546875" style="84" customWidth="1"/>
    <col min="14852" max="14852" width="16.5703125" style="84" customWidth="1"/>
    <col min="14853" max="14853" width="18.28515625" style="84" customWidth="1"/>
    <col min="14854" max="14854" width="17.5703125" style="84" customWidth="1"/>
    <col min="14855" max="14855" width="19" style="84" customWidth="1"/>
    <col min="14856" max="15104" width="8.7109375" style="84"/>
    <col min="15105" max="15105" width="10.85546875" style="84" customWidth="1"/>
    <col min="15106" max="15106" width="18.28515625" style="84" customWidth="1"/>
    <col min="15107" max="15107" width="18.85546875" style="84" customWidth="1"/>
    <col min="15108" max="15108" width="16.5703125" style="84" customWidth="1"/>
    <col min="15109" max="15109" width="18.28515625" style="84" customWidth="1"/>
    <col min="15110" max="15110" width="17.5703125" style="84" customWidth="1"/>
    <col min="15111" max="15111" width="19" style="84" customWidth="1"/>
    <col min="15112" max="15360" width="8.7109375" style="84"/>
    <col min="15361" max="15361" width="10.85546875" style="84" customWidth="1"/>
    <col min="15362" max="15362" width="18.28515625" style="84" customWidth="1"/>
    <col min="15363" max="15363" width="18.85546875" style="84" customWidth="1"/>
    <col min="15364" max="15364" width="16.5703125" style="84" customWidth="1"/>
    <col min="15365" max="15365" width="18.28515625" style="84" customWidth="1"/>
    <col min="15366" max="15366" width="17.5703125" style="84" customWidth="1"/>
    <col min="15367" max="15367" width="19" style="84" customWidth="1"/>
    <col min="15368" max="15616" width="8.7109375" style="84"/>
    <col min="15617" max="15617" width="10.85546875" style="84" customWidth="1"/>
    <col min="15618" max="15618" width="18.28515625" style="84" customWidth="1"/>
    <col min="15619" max="15619" width="18.85546875" style="84" customWidth="1"/>
    <col min="15620" max="15620" width="16.5703125" style="84" customWidth="1"/>
    <col min="15621" max="15621" width="18.28515625" style="84" customWidth="1"/>
    <col min="15622" max="15622" width="17.5703125" style="84" customWidth="1"/>
    <col min="15623" max="15623" width="19" style="84" customWidth="1"/>
    <col min="15624" max="15872" width="8.7109375" style="84"/>
    <col min="15873" max="15873" width="10.85546875" style="84" customWidth="1"/>
    <col min="15874" max="15874" width="18.28515625" style="84" customWidth="1"/>
    <col min="15875" max="15875" width="18.85546875" style="84" customWidth="1"/>
    <col min="15876" max="15876" width="16.5703125" style="84" customWidth="1"/>
    <col min="15877" max="15877" width="18.28515625" style="84" customWidth="1"/>
    <col min="15878" max="15878" width="17.5703125" style="84" customWidth="1"/>
    <col min="15879" max="15879" width="19" style="84" customWidth="1"/>
    <col min="15880" max="16128" width="8.7109375" style="84"/>
    <col min="16129" max="16129" width="10.85546875" style="84" customWidth="1"/>
    <col min="16130" max="16130" width="18.28515625" style="84" customWidth="1"/>
    <col min="16131" max="16131" width="18.85546875" style="84" customWidth="1"/>
    <col min="16132" max="16132" width="16.5703125" style="84" customWidth="1"/>
    <col min="16133" max="16133" width="18.28515625" style="84" customWidth="1"/>
    <col min="16134" max="16134" width="17.5703125" style="84" customWidth="1"/>
    <col min="16135" max="16135" width="19" style="84" customWidth="1"/>
    <col min="16136" max="16384" width="8.7109375" style="84"/>
  </cols>
  <sheetData>
    <row r="2" spans="1:12" x14ac:dyDescent="0.2">
      <c r="A2" s="206" t="s">
        <v>187</v>
      </c>
      <c r="B2" s="206"/>
      <c r="C2" s="206"/>
      <c r="D2" s="206"/>
      <c r="E2" s="206"/>
      <c r="F2" s="206"/>
    </row>
    <row r="3" spans="1:12" ht="22.5" customHeight="1" x14ac:dyDescent="0.2">
      <c r="A3" s="204" t="s">
        <v>188</v>
      </c>
      <c r="B3" s="204"/>
      <c r="C3" s="204"/>
      <c r="D3" s="204"/>
      <c r="E3" s="204"/>
      <c r="F3" s="204"/>
    </row>
    <row r="4" spans="1:12" ht="25.5" customHeight="1" x14ac:dyDescent="0.2">
      <c r="A4" s="203" t="s">
        <v>189</v>
      </c>
      <c r="B4" s="204"/>
      <c r="C4" s="204"/>
      <c r="D4" s="204"/>
      <c r="E4" s="204"/>
      <c r="F4" s="205"/>
    </row>
    <row r="5" spans="1:12" ht="31.5" x14ac:dyDescent="0.25">
      <c r="A5" s="207" t="s">
        <v>190</v>
      </c>
      <c r="B5" s="85" t="s">
        <v>191</v>
      </c>
      <c r="C5" s="86" t="s">
        <v>192</v>
      </c>
      <c r="D5" s="86" t="s">
        <v>193</v>
      </c>
      <c r="E5" s="86" t="s">
        <v>194</v>
      </c>
      <c r="F5" s="86" t="s">
        <v>195</v>
      </c>
      <c r="G5" s="84" t="s">
        <v>196</v>
      </c>
    </row>
    <row r="6" spans="1:12" ht="15.75" x14ac:dyDescent="0.25">
      <c r="A6" s="208"/>
      <c r="B6" s="87" t="s">
        <v>4</v>
      </c>
      <c r="C6" s="88" t="s">
        <v>197</v>
      </c>
      <c r="D6" s="88" t="s">
        <v>8</v>
      </c>
      <c r="E6" s="88" t="s">
        <v>198</v>
      </c>
      <c r="F6" s="88" t="s">
        <v>199</v>
      </c>
    </row>
    <row r="7" spans="1:12" ht="15.75" x14ac:dyDescent="0.25">
      <c r="A7" s="89"/>
      <c r="B7" s="90"/>
      <c r="C7" s="91">
        <f t="shared" ref="C7:C18" si="0">B7*1.65%</f>
        <v>0</v>
      </c>
      <c r="D7" s="92"/>
      <c r="E7" s="91">
        <f t="shared" ref="E7:E14" si="1">C7-D7</f>
        <v>0</v>
      </c>
      <c r="F7" s="93">
        <f>IFERROR(E7/B7,0)</f>
        <v>0</v>
      </c>
    </row>
    <row r="8" spans="1:12" ht="15.75" x14ac:dyDescent="0.25">
      <c r="A8" s="89"/>
      <c r="B8" s="94"/>
      <c r="C8" s="91">
        <f t="shared" si="0"/>
        <v>0</v>
      </c>
      <c r="D8" s="92"/>
      <c r="E8" s="91">
        <f t="shared" si="1"/>
        <v>0</v>
      </c>
      <c r="F8" s="93">
        <f t="shared" ref="F8:F18" si="2">IFERROR(E8/B8,0)</f>
        <v>0</v>
      </c>
    </row>
    <row r="9" spans="1:12" ht="15.75" x14ac:dyDescent="0.25">
      <c r="A9" s="89"/>
      <c r="B9" s="94"/>
      <c r="C9" s="91">
        <f t="shared" si="0"/>
        <v>0</v>
      </c>
      <c r="D9" s="92"/>
      <c r="E9" s="91">
        <f t="shared" si="1"/>
        <v>0</v>
      </c>
      <c r="F9" s="93">
        <f t="shared" si="2"/>
        <v>0</v>
      </c>
    </row>
    <row r="10" spans="1:12" ht="15.75" x14ac:dyDescent="0.25">
      <c r="A10" s="89"/>
      <c r="B10" s="94"/>
      <c r="C10" s="91">
        <f t="shared" si="0"/>
        <v>0</v>
      </c>
      <c r="D10" s="92"/>
      <c r="E10" s="91"/>
      <c r="F10" s="93">
        <f t="shared" si="2"/>
        <v>0</v>
      </c>
    </row>
    <row r="11" spans="1:12" ht="15.75" x14ac:dyDescent="0.25">
      <c r="A11" s="89"/>
      <c r="B11" s="94"/>
      <c r="C11" s="91">
        <f t="shared" si="0"/>
        <v>0</v>
      </c>
      <c r="D11" s="92"/>
      <c r="E11" s="91">
        <f t="shared" si="1"/>
        <v>0</v>
      </c>
      <c r="F11" s="93">
        <f t="shared" si="2"/>
        <v>0</v>
      </c>
    </row>
    <row r="12" spans="1:12" ht="15.75" x14ac:dyDescent="0.25">
      <c r="A12" s="89"/>
      <c r="B12" s="94"/>
      <c r="C12" s="91">
        <f t="shared" si="0"/>
        <v>0</v>
      </c>
      <c r="D12" s="92"/>
      <c r="E12" s="91">
        <f t="shared" si="1"/>
        <v>0</v>
      </c>
      <c r="F12" s="93">
        <f t="shared" si="2"/>
        <v>0</v>
      </c>
    </row>
    <row r="13" spans="1:12" ht="15.75" x14ac:dyDescent="0.25">
      <c r="A13" s="89"/>
      <c r="B13" s="94"/>
      <c r="C13" s="91">
        <f t="shared" si="0"/>
        <v>0</v>
      </c>
      <c r="D13" s="92"/>
      <c r="E13" s="91">
        <f t="shared" si="1"/>
        <v>0</v>
      </c>
      <c r="F13" s="93">
        <f t="shared" si="2"/>
        <v>0</v>
      </c>
      <c r="G13" s="95"/>
    </row>
    <row r="14" spans="1:12" ht="15.75" x14ac:dyDescent="0.25">
      <c r="A14" s="89"/>
      <c r="B14" s="94"/>
      <c r="C14" s="91">
        <f t="shared" si="0"/>
        <v>0</v>
      </c>
      <c r="D14" s="92"/>
      <c r="E14" s="91">
        <f t="shared" si="1"/>
        <v>0</v>
      </c>
      <c r="F14" s="93">
        <f t="shared" si="2"/>
        <v>0</v>
      </c>
      <c r="G14" s="95"/>
      <c r="K14" s="96"/>
      <c r="L14" s="96"/>
    </row>
    <row r="15" spans="1:12" ht="15.75" x14ac:dyDescent="0.25">
      <c r="A15" s="89"/>
      <c r="B15" s="94"/>
      <c r="C15" s="91">
        <f t="shared" si="0"/>
        <v>0</v>
      </c>
      <c r="D15" s="92"/>
      <c r="E15" s="91">
        <f>C15-D15</f>
        <v>0</v>
      </c>
      <c r="F15" s="93">
        <f t="shared" si="2"/>
        <v>0</v>
      </c>
    </row>
    <row r="16" spans="1:12" ht="15.75" x14ac:dyDescent="0.25">
      <c r="A16" s="89"/>
      <c r="B16" s="94"/>
      <c r="C16" s="91">
        <f t="shared" si="0"/>
        <v>0</v>
      </c>
      <c r="D16" s="92"/>
      <c r="E16" s="91">
        <f>C16-D16</f>
        <v>0</v>
      </c>
      <c r="F16" s="93">
        <f t="shared" si="2"/>
        <v>0</v>
      </c>
    </row>
    <row r="17" spans="1:6" ht="15.75" x14ac:dyDescent="0.25">
      <c r="A17" s="89"/>
      <c r="B17" s="94"/>
      <c r="C17" s="91">
        <f t="shared" si="0"/>
        <v>0</v>
      </c>
      <c r="D17" s="92"/>
      <c r="E17" s="91">
        <f>C17-D17</f>
        <v>0</v>
      </c>
      <c r="F17" s="93">
        <f t="shared" si="2"/>
        <v>0</v>
      </c>
    </row>
    <row r="18" spans="1:6" ht="15.75" x14ac:dyDescent="0.25">
      <c r="A18" s="89"/>
      <c r="B18" s="94"/>
      <c r="C18" s="91">
        <f t="shared" si="0"/>
        <v>0</v>
      </c>
      <c r="D18" s="92"/>
      <c r="E18" s="91">
        <f>C18-D18</f>
        <v>0</v>
      </c>
      <c r="F18" s="93">
        <f t="shared" si="2"/>
        <v>0</v>
      </c>
    </row>
    <row r="19" spans="1:6" ht="33.75" customHeight="1" x14ac:dyDescent="0.2">
      <c r="A19" s="200" t="s">
        <v>200</v>
      </c>
      <c r="B19" s="200"/>
      <c r="C19" s="200"/>
      <c r="D19" s="200"/>
      <c r="E19" s="200"/>
      <c r="F19" s="97">
        <f>AVERAGE(F7:F18)</f>
        <v>0</v>
      </c>
    </row>
    <row r="20" spans="1:6" ht="15.75" x14ac:dyDescent="0.25">
      <c r="A20" s="98"/>
      <c r="B20" s="99"/>
      <c r="C20" s="98"/>
      <c r="D20" s="98"/>
      <c r="E20" s="98"/>
      <c r="F20" s="98"/>
    </row>
    <row r="21" spans="1:6" ht="28.5" customHeight="1" x14ac:dyDescent="0.2">
      <c r="A21" s="203" t="s">
        <v>201</v>
      </c>
      <c r="B21" s="204"/>
      <c r="C21" s="204"/>
      <c r="D21" s="204"/>
      <c r="E21" s="204"/>
      <c r="F21" s="205"/>
    </row>
    <row r="22" spans="1:6" ht="31.5" x14ac:dyDescent="0.2">
      <c r="A22" s="100" t="s">
        <v>190</v>
      </c>
      <c r="B22" s="101" t="s">
        <v>191</v>
      </c>
      <c r="C22" s="100" t="s">
        <v>192</v>
      </c>
      <c r="D22" s="100" t="s">
        <v>193</v>
      </c>
      <c r="E22" s="100" t="s">
        <v>194</v>
      </c>
      <c r="F22" s="100" t="s">
        <v>195</v>
      </c>
    </row>
    <row r="23" spans="1:6" ht="15.75" x14ac:dyDescent="0.25">
      <c r="A23" s="102"/>
      <c r="B23" s="87" t="s">
        <v>4</v>
      </c>
      <c r="C23" s="88" t="s">
        <v>202</v>
      </c>
      <c r="D23" s="88" t="s">
        <v>8</v>
      </c>
      <c r="E23" s="88" t="s">
        <v>198</v>
      </c>
      <c r="F23" s="88" t="s">
        <v>199</v>
      </c>
    </row>
    <row r="24" spans="1:6" ht="15.75" x14ac:dyDescent="0.25">
      <c r="A24" s="89">
        <f>A6</f>
        <v>0</v>
      </c>
      <c r="B24" s="103">
        <f t="shared" ref="B24:B35" si="3">B7</f>
        <v>0</v>
      </c>
      <c r="C24" s="91">
        <f t="shared" ref="C24:C35" si="4">B24*7.6%</f>
        <v>0</v>
      </c>
      <c r="D24" s="92"/>
      <c r="E24" s="91">
        <f t="shared" ref="E24:E35" si="5">C24-D24</f>
        <v>0</v>
      </c>
      <c r="F24" s="93">
        <f t="shared" ref="F24:F35" si="6">IFERROR(E24/B24,0)</f>
        <v>0</v>
      </c>
    </row>
    <row r="25" spans="1:6" ht="15.75" x14ac:dyDescent="0.25">
      <c r="A25" s="89">
        <f t="shared" ref="A25:A35" si="7">A7</f>
        <v>0</v>
      </c>
      <c r="B25" s="94">
        <f t="shared" si="3"/>
        <v>0</v>
      </c>
      <c r="C25" s="91">
        <f t="shared" si="4"/>
        <v>0</v>
      </c>
      <c r="D25" s="92"/>
      <c r="E25" s="91">
        <f t="shared" si="5"/>
        <v>0</v>
      </c>
      <c r="F25" s="93">
        <f t="shared" si="6"/>
        <v>0</v>
      </c>
    </row>
    <row r="26" spans="1:6" ht="15.75" x14ac:dyDescent="0.25">
      <c r="A26" s="89">
        <f t="shared" si="7"/>
        <v>0</v>
      </c>
      <c r="B26" s="94">
        <f t="shared" si="3"/>
        <v>0</v>
      </c>
      <c r="C26" s="91">
        <f t="shared" si="4"/>
        <v>0</v>
      </c>
      <c r="D26" s="92"/>
      <c r="E26" s="91">
        <f t="shared" si="5"/>
        <v>0</v>
      </c>
      <c r="F26" s="93">
        <f t="shared" si="6"/>
        <v>0</v>
      </c>
    </row>
    <row r="27" spans="1:6" ht="15.75" x14ac:dyDescent="0.25">
      <c r="A27" s="89">
        <f t="shared" si="7"/>
        <v>0</v>
      </c>
      <c r="B27" s="94">
        <f t="shared" si="3"/>
        <v>0</v>
      </c>
      <c r="C27" s="91">
        <f t="shared" si="4"/>
        <v>0</v>
      </c>
      <c r="D27" s="92"/>
      <c r="E27" s="91">
        <f t="shared" si="5"/>
        <v>0</v>
      </c>
      <c r="F27" s="93">
        <f t="shared" si="6"/>
        <v>0</v>
      </c>
    </row>
    <row r="28" spans="1:6" ht="15.75" x14ac:dyDescent="0.25">
      <c r="A28" s="89">
        <f t="shared" si="7"/>
        <v>0</v>
      </c>
      <c r="B28" s="94">
        <f t="shared" si="3"/>
        <v>0</v>
      </c>
      <c r="C28" s="91">
        <f t="shared" si="4"/>
        <v>0</v>
      </c>
      <c r="D28" s="92"/>
      <c r="E28" s="91">
        <f t="shared" si="5"/>
        <v>0</v>
      </c>
      <c r="F28" s="93">
        <f t="shared" si="6"/>
        <v>0</v>
      </c>
    </row>
    <row r="29" spans="1:6" ht="15.75" x14ac:dyDescent="0.25">
      <c r="A29" s="89">
        <f t="shared" si="7"/>
        <v>0</v>
      </c>
      <c r="B29" s="94">
        <f t="shared" si="3"/>
        <v>0</v>
      </c>
      <c r="C29" s="91">
        <f t="shared" si="4"/>
        <v>0</v>
      </c>
      <c r="D29" s="92"/>
      <c r="E29" s="91">
        <f t="shared" si="5"/>
        <v>0</v>
      </c>
      <c r="F29" s="93">
        <f t="shared" si="6"/>
        <v>0</v>
      </c>
    </row>
    <row r="30" spans="1:6" ht="15.75" x14ac:dyDescent="0.25">
      <c r="A30" s="89">
        <f t="shared" si="7"/>
        <v>0</v>
      </c>
      <c r="B30" s="94">
        <f t="shared" si="3"/>
        <v>0</v>
      </c>
      <c r="C30" s="91">
        <f t="shared" si="4"/>
        <v>0</v>
      </c>
      <c r="D30" s="92"/>
      <c r="E30" s="91">
        <f t="shared" si="5"/>
        <v>0</v>
      </c>
      <c r="F30" s="93">
        <f t="shared" si="6"/>
        <v>0</v>
      </c>
    </row>
    <row r="31" spans="1:6" ht="15.75" x14ac:dyDescent="0.25">
      <c r="A31" s="89">
        <f t="shared" si="7"/>
        <v>0</v>
      </c>
      <c r="B31" s="94">
        <f t="shared" si="3"/>
        <v>0</v>
      </c>
      <c r="C31" s="91">
        <f t="shared" si="4"/>
        <v>0</v>
      </c>
      <c r="D31" s="92"/>
      <c r="E31" s="91">
        <f t="shared" si="5"/>
        <v>0</v>
      </c>
      <c r="F31" s="93">
        <f t="shared" si="6"/>
        <v>0</v>
      </c>
    </row>
    <row r="32" spans="1:6" ht="15.75" x14ac:dyDescent="0.25">
      <c r="A32" s="89">
        <f t="shared" si="7"/>
        <v>0</v>
      </c>
      <c r="B32" s="94">
        <f t="shared" si="3"/>
        <v>0</v>
      </c>
      <c r="C32" s="91">
        <f t="shared" si="4"/>
        <v>0</v>
      </c>
      <c r="D32" s="92"/>
      <c r="E32" s="91">
        <f t="shared" si="5"/>
        <v>0</v>
      </c>
      <c r="F32" s="93">
        <f t="shared" si="6"/>
        <v>0</v>
      </c>
    </row>
    <row r="33" spans="1:6" ht="15.75" x14ac:dyDescent="0.25">
      <c r="A33" s="89">
        <f t="shared" si="7"/>
        <v>0</v>
      </c>
      <c r="B33" s="94">
        <f t="shared" si="3"/>
        <v>0</v>
      </c>
      <c r="C33" s="91">
        <f t="shared" si="4"/>
        <v>0</v>
      </c>
      <c r="D33" s="92"/>
      <c r="E33" s="91">
        <f t="shared" si="5"/>
        <v>0</v>
      </c>
      <c r="F33" s="93">
        <f t="shared" si="6"/>
        <v>0</v>
      </c>
    </row>
    <row r="34" spans="1:6" ht="15.75" x14ac:dyDescent="0.25">
      <c r="A34" s="89">
        <f t="shared" si="7"/>
        <v>0</v>
      </c>
      <c r="B34" s="94">
        <f t="shared" si="3"/>
        <v>0</v>
      </c>
      <c r="C34" s="91">
        <f t="shared" si="4"/>
        <v>0</v>
      </c>
      <c r="D34" s="92"/>
      <c r="E34" s="91">
        <f t="shared" si="5"/>
        <v>0</v>
      </c>
      <c r="F34" s="93">
        <f t="shared" si="6"/>
        <v>0</v>
      </c>
    </row>
    <row r="35" spans="1:6" ht="15.75" x14ac:dyDescent="0.25">
      <c r="A35" s="89">
        <f t="shared" si="7"/>
        <v>0</v>
      </c>
      <c r="B35" s="94">
        <f t="shared" si="3"/>
        <v>0</v>
      </c>
      <c r="C35" s="91">
        <f t="shared" si="4"/>
        <v>0</v>
      </c>
      <c r="D35" s="92"/>
      <c r="E35" s="91">
        <f t="shared" si="5"/>
        <v>0</v>
      </c>
      <c r="F35" s="93">
        <f t="shared" si="6"/>
        <v>0</v>
      </c>
    </row>
    <row r="36" spans="1:6" ht="33" customHeight="1" x14ac:dyDescent="0.2">
      <c r="A36" s="200" t="s">
        <v>200</v>
      </c>
      <c r="B36" s="200"/>
      <c r="C36" s="200"/>
      <c r="D36" s="200"/>
      <c r="E36" s="200"/>
      <c r="F36" s="97">
        <f>AVERAGE(F24:F35)</f>
        <v>0</v>
      </c>
    </row>
    <row r="37" spans="1:6" ht="15.75" x14ac:dyDescent="0.25">
      <c r="A37" s="104"/>
      <c r="B37" s="104"/>
      <c r="C37" s="104"/>
      <c r="D37" s="104"/>
      <c r="E37" s="104"/>
      <c r="F37" s="105"/>
    </row>
    <row r="38" spans="1:6" ht="15.75" x14ac:dyDescent="0.25">
      <c r="A38" s="201"/>
      <c r="B38" s="201"/>
      <c r="C38" s="201"/>
      <c r="D38" s="201"/>
      <c r="E38" s="201"/>
      <c r="F38" s="201"/>
    </row>
    <row r="39" spans="1:6" ht="15.75" x14ac:dyDescent="0.25">
      <c r="A39" s="106"/>
      <c r="B39" s="106"/>
      <c r="C39" s="106"/>
      <c r="D39" s="106"/>
      <c r="E39" s="106"/>
      <c r="F39" s="106"/>
    </row>
    <row r="40" spans="1:6" ht="15.75" x14ac:dyDescent="0.25">
      <c r="A40" s="106"/>
      <c r="B40" s="106"/>
      <c r="C40" s="106"/>
      <c r="D40" s="106"/>
      <c r="E40" s="106"/>
      <c r="F40" s="106"/>
    </row>
    <row r="41" spans="1:6" ht="15.75" x14ac:dyDescent="0.25">
      <c r="A41" s="202"/>
      <c r="B41" s="202"/>
      <c r="C41" s="202"/>
      <c r="D41" s="202"/>
      <c r="E41" s="202"/>
      <c r="F41" s="202"/>
    </row>
    <row r="42" spans="1:6" ht="15.75" x14ac:dyDescent="0.25">
      <c r="A42" s="202"/>
      <c r="B42" s="202"/>
      <c r="C42" s="202"/>
      <c r="D42" s="202"/>
      <c r="E42" s="202"/>
      <c r="F42" s="202"/>
    </row>
    <row r="43" spans="1:6" ht="15.75" x14ac:dyDescent="0.25">
      <c r="A43" s="202"/>
      <c r="B43" s="202"/>
      <c r="C43" s="202"/>
      <c r="D43" s="202"/>
      <c r="E43" s="202"/>
      <c r="F43" s="202"/>
    </row>
    <row r="44" spans="1:6" s="107" customFormat="1" ht="15.75" x14ac:dyDescent="0.25">
      <c r="A44" s="104"/>
      <c r="B44" s="104"/>
      <c r="C44" s="104"/>
      <c r="D44" s="104"/>
      <c r="E44" s="104"/>
      <c r="F44" s="105"/>
    </row>
    <row r="45" spans="1:6" ht="15.75" x14ac:dyDescent="0.25">
      <c r="A45" s="108"/>
      <c r="B45" s="109"/>
      <c r="C45" s="108"/>
      <c r="D45" s="108"/>
      <c r="E45" s="108"/>
      <c r="F45" s="110">
        <f>F36+F19</f>
        <v>0</v>
      </c>
    </row>
  </sheetData>
  <mergeCells count="11">
    <mergeCell ref="A21:F21"/>
    <mergeCell ref="A2:F2"/>
    <mergeCell ref="A3:F3"/>
    <mergeCell ref="A4:F4"/>
    <mergeCell ref="A5:A6"/>
    <mergeCell ref="A19:E19"/>
    <mergeCell ref="A36:E36"/>
    <mergeCell ref="A38:F38"/>
    <mergeCell ref="A41:F41"/>
    <mergeCell ref="A42:F42"/>
    <mergeCell ref="A43:F43"/>
  </mergeCells>
  <pageMargins left="0.9055118110236221" right="0.51181102362204722" top="1.1811023622047245" bottom="0.78740157480314965" header="0.31496062992125984" footer="0.31496062992125984"/>
  <pageSetup paperSize="9" scale="8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19" sqref="A19"/>
    </sheetView>
  </sheetViews>
  <sheetFormatPr defaultRowHeight="15" x14ac:dyDescent="0.25"/>
  <cols>
    <col min="1" max="1" width="32.7109375" bestFit="1" customWidth="1"/>
    <col min="2" max="2" width="13.28515625" style="130" bestFit="1" customWidth="1"/>
    <col min="3" max="4" width="15.140625" customWidth="1"/>
    <col min="5" max="5" width="23.85546875" customWidth="1"/>
    <col min="6" max="6" width="22.85546875" customWidth="1"/>
    <col min="7" max="7" width="16.7109375" style="130" customWidth="1"/>
    <col min="8" max="8" width="28.140625" customWidth="1"/>
    <col min="9" max="9" width="16.85546875" customWidth="1"/>
  </cols>
  <sheetData>
    <row r="1" spans="1:9" x14ac:dyDescent="0.25">
      <c r="A1" s="113" t="s">
        <v>203</v>
      </c>
      <c r="B1" s="114">
        <v>4800000</v>
      </c>
      <c r="D1" s="209" t="s">
        <v>204</v>
      </c>
      <c r="E1" s="209"/>
      <c r="F1" s="209"/>
      <c r="G1" s="209"/>
      <c r="H1" s="209"/>
    </row>
    <row r="2" spans="1:9" x14ac:dyDescent="0.25">
      <c r="A2" s="115" t="s">
        <v>205</v>
      </c>
      <c r="B2" s="116">
        <f>IF(B1&lt;E7,D6,IF(B1&lt;E8,D7,IF(B1&lt;E9,D8,IF(B1&lt;E10,D9,IF(B1&lt;E11,D10,IF(B1&lt;=F11,D11))))))</f>
        <v>6</v>
      </c>
      <c r="D2" s="209"/>
      <c r="E2" s="209"/>
      <c r="F2" s="209"/>
      <c r="G2" s="209"/>
      <c r="H2" s="209"/>
    </row>
    <row r="3" spans="1:9" ht="15" customHeight="1" x14ac:dyDescent="0.25">
      <c r="A3" s="113" t="s">
        <v>206</v>
      </c>
      <c r="B3" s="114">
        <f>IF(B2=1,G6,IF(B2=2,G7,IF(B2=3,G8,IF(B2=4,G9,IF(B2=5,G10,IF(B2=6,G11))))))</f>
        <v>33</v>
      </c>
      <c r="D3" s="210" t="s">
        <v>207</v>
      </c>
      <c r="E3" s="210"/>
      <c r="F3" s="210"/>
      <c r="G3" s="210"/>
      <c r="H3" s="210"/>
    </row>
    <row r="4" spans="1:9" x14ac:dyDescent="0.25">
      <c r="A4" s="115" t="s">
        <v>208</v>
      </c>
      <c r="B4" s="117">
        <f>IF(B2=1,H6,IF(B2=2,H7,IF(B2=3,H8,IF(B2=4,H9,IF(B2=5,H10,IF(B2=6,H11))))))</f>
        <v>828000</v>
      </c>
      <c r="D4" s="210"/>
      <c r="E4" s="210"/>
      <c r="F4" s="210"/>
      <c r="G4" s="210"/>
      <c r="H4" s="210"/>
    </row>
    <row r="5" spans="1:9" x14ac:dyDescent="0.25">
      <c r="A5" s="113" t="s">
        <v>209</v>
      </c>
      <c r="B5" s="114">
        <f>IFERROR((B1*(B3/100)-B4)/B1*100,0)</f>
        <v>15.75</v>
      </c>
      <c r="C5" s="118"/>
      <c r="D5" s="119" t="s">
        <v>210</v>
      </c>
      <c r="E5" s="120" t="s">
        <v>211</v>
      </c>
      <c r="F5" s="120" t="s">
        <v>212</v>
      </c>
      <c r="G5" s="121" t="s">
        <v>213</v>
      </c>
      <c r="H5" s="122" t="s">
        <v>214</v>
      </c>
    </row>
    <row r="6" spans="1:9" x14ac:dyDescent="0.25">
      <c r="A6" s="113" t="s">
        <v>215</v>
      </c>
      <c r="B6" s="114">
        <f>IF(B2=1,B5*I16,
IF(B2=2,B5*I17,
IF(B2=3,B5*I18,
IF(B2=4,B5*I19,
IF(B2=5,IF($B$5&gt;12.5,($B$5-$B$8)*I23,B5*I20),
IF(B2=6,B5*I21,))))))</f>
        <v>0.70087499999999991</v>
      </c>
      <c r="D6" s="123">
        <v>1</v>
      </c>
      <c r="E6" s="124">
        <v>0</v>
      </c>
      <c r="F6" s="125">
        <v>180000</v>
      </c>
      <c r="G6" s="126">
        <v>4.5</v>
      </c>
      <c r="H6" s="127">
        <v>0</v>
      </c>
    </row>
    <row r="7" spans="1:9" x14ac:dyDescent="0.25">
      <c r="A7" s="115" t="s">
        <v>216</v>
      </c>
      <c r="B7" s="117">
        <f>IF(B2=1,B5*H16,
IF(B2=2,B5*H17,
IF(B2=3,B5*H18,
IF(B2=4,B5*H19,
IF(B2=5,IF($B$5&gt;12.5,($B$5-$B$8)*H23,B5*H20),
IF(B2=6,B5*H21,))))))</f>
        <v>3.2366249999999996</v>
      </c>
      <c r="D7" s="123">
        <v>2</v>
      </c>
      <c r="E7" s="125">
        <v>180000.01</v>
      </c>
      <c r="F7" s="125">
        <v>360000</v>
      </c>
      <c r="G7" s="126">
        <v>9</v>
      </c>
      <c r="H7" s="128">
        <v>8100</v>
      </c>
    </row>
    <row r="8" spans="1:9" x14ac:dyDescent="0.25">
      <c r="A8" s="113" t="s">
        <v>217</v>
      </c>
      <c r="B8" s="114">
        <f>IF(IF(B2=1,B5*E16,
IF(B2=2,B5*E17,
IF(B2=3,B5*E18,
IF(B2=4,B5*E19,
IF(B2=5,IF($B$5&gt;12.5,E23*100,B5*E20),
IF(B2=6,Informações!$B$5*100))))))&lt;2,2,
IF(B2=1,B5*E16,
IF(B2=2,B5*E17,
IF(B2=3,B5*E18,
IF(B2=4,B5*E19,
IF(B2=5,IF($B$5&gt;12.5,E23*100,B5*E20),
IF(B2=6,Informações!$B$5*100)))))))</f>
        <v>5</v>
      </c>
      <c r="D8" s="123">
        <v>3</v>
      </c>
      <c r="E8" s="125">
        <v>360000.01</v>
      </c>
      <c r="F8" s="125">
        <v>720000</v>
      </c>
      <c r="G8" s="126">
        <v>10.199999999999999</v>
      </c>
      <c r="H8" s="129">
        <v>12420</v>
      </c>
    </row>
    <row r="9" spans="1:9" x14ac:dyDescent="0.25">
      <c r="D9" s="123">
        <v>4</v>
      </c>
      <c r="E9" s="125">
        <v>720000.01</v>
      </c>
      <c r="F9" s="125">
        <v>1800000</v>
      </c>
      <c r="G9" s="126">
        <v>14</v>
      </c>
      <c r="H9" s="129">
        <v>39780</v>
      </c>
    </row>
    <row r="10" spans="1:9" x14ac:dyDescent="0.25">
      <c r="D10" s="123">
        <v>5</v>
      </c>
      <c r="E10" s="125">
        <v>1800000.01</v>
      </c>
      <c r="F10" s="125">
        <v>3600000</v>
      </c>
      <c r="G10" s="126">
        <v>22</v>
      </c>
      <c r="H10" s="129">
        <v>183780</v>
      </c>
    </row>
    <row r="11" spans="1:9" x14ac:dyDescent="0.25">
      <c r="D11" s="131">
        <v>6</v>
      </c>
      <c r="E11" s="132">
        <v>3600000.01</v>
      </c>
      <c r="F11" s="132">
        <v>4800000</v>
      </c>
      <c r="G11" s="133">
        <v>33</v>
      </c>
      <c r="H11" s="134">
        <v>828000</v>
      </c>
    </row>
    <row r="14" spans="1:9" x14ac:dyDescent="0.25">
      <c r="E14" s="135" t="s">
        <v>218</v>
      </c>
      <c r="F14" s="135"/>
      <c r="G14" s="135"/>
      <c r="H14" s="135"/>
      <c r="I14" s="135"/>
    </row>
    <row r="15" spans="1:9" x14ac:dyDescent="0.25">
      <c r="D15" s="136" t="s">
        <v>210</v>
      </c>
      <c r="E15" t="s">
        <v>89</v>
      </c>
      <c r="F15" t="s">
        <v>219</v>
      </c>
      <c r="G15" s="130" t="s">
        <v>220</v>
      </c>
      <c r="H15" t="s">
        <v>221</v>
      </c>
      <c r="I15" t="s">
        <v>222</v>
      </c>
    </row>
    <row r="16" spans="1:9" x14ac:dyDescent="0.25">
      <c r="D16" s="115">
        <v>1</v>
      </c>
      <c r="E16" s="137">
        <v>0.44500000000000001</v>
      </c>
      <c r="F16" s="137">
        <v>0.152</v>
      </c>
      <c r="G16" s="138">
        <v>0.188</v>
      </c>
      <c r="H16" s="137">
        <v>0.1767</v>
      </c>
      <c r="I16" s="137">
        <v>3.8300000000000001E-2</v>
      </c>
    </row>
    <row r="17" spans="1:10" x14ac:dyDescent="0.25">
      <c r="D17" s="113">
        <v>2</v>
      </c>
      <c r="E17" s="137">
        <v>0.4</v>
      </c>
      <c r="F17" s="137">
        <v>0.152</v>
      </c>
      <c r="G17" s="138">
        <v>0.19800000000000001</v>
      </c>
      <c r="H17" s="137">
        <v>0.20549999999999999</v>
      </c>
      <c r="I17" s="137">
        <v>4.4499999999999998E-2</v>
      </c>
    </row>
    <row r="18" spans="1:10" x14ac:dyDescent="0.25">
      <c r="D18" s="115">
        <v>3</v>
      </c>
      <c r="E18" s="137">
        <v>0.4</v>
      </c>
      <c r="F18" s="137">
        <v>0.152</v>
      </c>
      <c r="G18" s="138">
        <v>0.20799999999999999</v>
      </c>
      <c r="H18" s="137">
        <v>0.1973</v>
      </c>
      <c r="I18" s="137">
        <v>4.2700000000000002E-2</v>
      </c>
    </row>
    <row r="19" spans="1:10" x14ac:dyDescent="0.25">
      <c r="D19" s="113">
        <v>4</v>
      </c>
      <c r="E19" s="137">
        <v>0.4</v>
      </c>
      <c r="F19" s="137">
        <v>0.192</v>
      </c>
      <c r="G19" s="138">
        <v>0.17799999999999999</v>
      </c>
      <c r="H19" s="137">
        <v>0.189</v>
      </c>
      <c r="I19" s="137">
        <v>4.1000000000000002E-2</v>
      </c>
    </row>
    <row r="20" spans="1:10" x14ac:dyDescent="0.25">
      <c r="A20" s="139"/>
      <c r="B20" s="140"/>
      <c r="D20" s="115">
        <v>5</v>
      </c>
      <c r="E20" t="s">
        <v>223</v>
      </c>
      <c r="F20" s="137">
        <v>0.192</v>
      </c>
      <c r="G20" s="138">
        <v>0.188</v>
      </c>
      <c r="H20" s="137">
        <v>0.18079999999999999</v>
      </c>
      <c r="I20" s="137">
        <v>3.9199999999999999E-2</v>
      </c>
    </row>
    <row r="21" spans="1:10" x14ac:dyDescent="0.25">
      <c r="D21" s="113">
        <v>6</v>
      </c>
      <c r="E21" t="s">
        <v>224</v>
      </c>
      <c r="F21" s="137">
        <v>0.215</v>
      </c>
      <c r="G21" s="138">
        <v>0.53500000000000003</v>
      </c>
      <c r="H21" s="137">
        <v>0.20549999999999999</v>
      </c>
      <c r="I21" s="137">
        <v>4.4499999999999998E-2</v>
      </c>
      <c r="J21" s="137"/>
    </row>
    <row r="22" spans="1:10" x14ac:dyDescent="0.25">
      <c r="E22" t="s">
        <v>89</v>
      </c>
      <c r="F22" t="s">
        <v>219</v>
      </c>
      <c r="G22" s="130" t="s">
        <v>220</v>
      </c>
      <c r="H22" t="s">
        <v>221</v>
      </c>
      <c r="I22" t="s">
        <v>222</v>
      </c>
    </row>
    <row r="23" spans="1:10" s="139" customFormat="1" ht="46.5" customHeight="1" thickBot="1" x14ac:dyDescent="0.3">
      <c r="A23"/>
      <c r="B23" s="130"/>
      <c r="D23" s="141" t="s">
        <v>225</v>
      </c>
      <c r="E23" s="142">
        <v>0.05</v>
      </c>
      <c r="F23" s="142">
        <v>0.32</v>
      </c>
      <c r="G23" s="142">
        <v>0.31330000000000002</v>
      </c>
      <c r="H23" s="142">
        <v>0.30130000000000001</v>
      </c>
      <c r="I23" s="142">
        <v>6.54E-2</v>
      </c>
    </row>
    <row r="24" spans="1:10" x14ac:dyDescent="0.25">
      <c r="F24" s="137"/>
      <c r="G24" s="137"/>
      <c r="H24" s="137"/>
      <c r="I24" s="137"/>
    </row>
    <row r="25" spans="1:10" x14ac:dyDescent="0.25">
      <c r="F25" s="137"/>
    </row>
  </sheetData>
  <mergeCells count="2">
    <mergeCell ref="D1:H2"/>
    <mergeCell ref="D3:H4"/>
  </mergeCells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9"/>
  <sheetViews>
    <sheetView tabSelected="1" zoomScale="110" zoomScaleNormal="110" workbookViewId="0">
      <selection activeCell="A19" sqref="A19:XFD19"/>
    </sheetView>
  </sheetViews>
  <sheetFormatPr defaultColWidth="9.140625" defaultRowHeight="12.75" x14ac:dyDescent="0.2"/>
  <cols>
    <col min="1" max="1" width="9.140625" style="14"/>
    <col min="2" max="2" width="43.140625" style="14" customWidth="1"/>
    <col min="3" max="3" width="3.140625" style="14" bestFit="1" customWidth="1"/>
    <col min="4" max="4" width="11.28515625" style="14" bestFit="1" customWidth="1"/>
    <col min="5" max="5" width="19.7109375" style="14" customWidth="1"/>
    <col min="6" max="6" width="3.140625" style="14" bestFit="1" customWidth="1"/>
    <col min="7" max="7" width="12.28515625" style="14" bestFit="1" customWidth="1"/>
    <col min="8" max="8" width="9.140625" style="14"/>
    <col min="9" max="9" width="19.42578125" style="14" bestFit="1" customWidth="1"/>
    <col min="10" max="16384" width="9.140625" style="14"/>
  </cols>
  <sheetData>
    <row r="1" spans="1:9" x14ac:dyDescent="0.2">
      <c r="A1" s="178" t="s">
        <v>153</v>
      </c>
      <c r="B1" s="178"/>
      <c r="C1" s="178"/>
      <c r="D1" s="178"/>
      <c r="E1" s="178"/>
      <c r="F1" s="178"/>
      <c r="G1" s="178"/>
      <c r="H1" s="178"/>
      <c r="I1" s="178"/>
    </row>
    <row r="2" spans="1:9" x14ac:dyDescent="0.2">
      <c r="A2" s="179" t="s">
        <v>154</v>
      </c>
      <c r="B2" s="179"/>
      <c r="C2" s="179" t="s">
        <v>155</v>
      </c>
      <c r="D2" s="179"/>
      <c r="E2" s="179" t="s">
        <v>156</v>
      </c>
      <c r="F2" s="179" t="s">
        <v>157</v>
      </c>
      <c r="G2" s="179"/>
      <c r="H2" s="179" t="s">
        <v>158</v>
      </c>
      <c r="I2" s="179" t="s">
        <v>159</v>
      </c>
    </row>
    <row r="3" spans="1:9" ht="15.75" customHeight="1" x14ac:dyDescent="0.2">
      <c r="A3" s="179"/>
      <c r="B3" s="179"/>
      <c r="C3" s="179"/>
      <c r="D3" s="179"/>
      <c r="E3" s="179"/>
      <c r="F3" s="179"/>
      <c r="G3" s="179"/>
      <c r="H3" s="179"/>
      <c r="I3" s="179"/>
    </row>
    <row r="4" spans="1:9" ht="15.75" customHeight="1" x14ac:dyDescent="0.2">
      <c r="A4" s="175" t="s">
        <v>160</v>
      </c>
      <c r="B4" s="175"/>
      <c r="C4" s="176" t="s">
        <v>161</v>
      </c>
      <c r="D4" s="176"/>
      <c r="E4" s="63" t="s">
        <v>162</v>
      </c>
      <c r="F4" s="176" t="s">
        <v>163</v>
      </c>
      <c r="G4" s="176"/>
      <c r="H4" s="63" t="s">
        <v>164</v>
      </c>
      <c r="I4" s="63" t="s">
        <v>165</v>
      </c>
    </row>
    <row r="5" spans="1:9" x14ac:dyDescent="0.2">
      <c r="A5" s="64" t="s">
        <v>166</v>
      </c>
      <c r="B5" s="168" t="s">
        <v>281</v>
      </c>
      <c r="C5" s="64" t="s">
        <v>167</v>
      </c>
      <c r="D5" s="65">
        <f>IFERROR('Vigilante Diurno'!$D$157,0)</f>
        <v>5719.7913210835013</v>
      </c>
      <c r="E5" s="66">
        <f>'Vigilante Diurno'!$E$12</f>
        <v>2</v>
      </c>
      <c r="F5" s="64" t="s">
        <v>167</v>
      </c>
      <c r="G5" s="65">
        <f>D5*E5</f>
        <v>11439.582642167003</v>
      </c>
      <c r="H5" s="64">
        <f>'Vigilante Diurno'!$D$12</f>
        <v>2</v>
      </c>
      <c r="I5" s="67">
        <f>H5*G5</f>
        <v>22879.165284334005</v>
      </c>
    </row>
    <row r="6" spans="1:9" x14ac:dyDescent="0.2">
      <c r="A6" s="161" t="s">
        <v>168</v>
      </c>
      <c r="B6" s="168" t="s">
        <v>282</v>
      </c>
      <c r="C6" s="161" t="s">
        <v>167</v>
      </c>
      <c r="D6" s="65">
        <f>IFERROR('Vigilante Noturno'!$D$157,0)</f>
        <v>6541.7739179046312</v>
      </c>
      <c r="E6" s="66">
        <f>'Vigilante Noturno'!$E$12</f>
        <v>2</v>
      </c>
      <c r="F6" s="161" t="s">
        <v>167</v>
      </c>
      <c r="G6" s="65">
        <f>D6*E6</f>
        <v>13083.547835809262</v>
      </c>
      <c r="H6" s="161">
        <f>'Vigilante Noturno'!$D$12</f>
        <v>1</v>
      </c>
      <c r="I6" s="67">
        <f>H6*G6</f>
        <v>13083.547835809262</v>
      </c>
    </row>
    <row r="7" spans="1:9" hidden="1" x14ac:dyDescent="0.2">
      <c r="A7" s="161" t="s">
        <v>278</v>
      </c>
      <c r="B7" s="168" t="s">
        <v>227</v>
      </c>
      <c r="C7" s="161" t="s">
        <v>167</v>
      </c>
      <c r="D7" s="65">
        <f>IFERROR('Vigilante Diurno - Diária ronda'!$D$158,0)</f>
        <v>393.71092691174221</v>
      </c>
      <c r="E7" s="66">
        <f>'Vigilante Diurno - Diária ronda'!$E$12</f>
        <v>0</v>
      </c>
      <c r="F7" s="161" t="s">
        <v>167</v>
      </c>
      <c r="G7" s="65">
        <f>D7*E7</f>
        <v>0</v>
      </c>
      <c r="H7" s="161">
        <f>'Vigilante Diurno - Diária ronda'!$D$12</f>
        <v>0</v>
      </c>
      <c r="I7" s="67">
        <f>H7*G7</f>
        <v>0</v>
      </c>
    </row>
    <row r="8" spans="1:9" hidden="1" x14ac:dyDescent="0.2">
      <c r="A8" s="64" t="s">
        <v>279</v>
      </c>
      <c r="B8" s="168" t="s">
        <v>271</v>
      </c>
      <c r="C8" s="64" t="s">
        <v>167</v>
      </c>
      <c r="D8" s="65">
        <f>IFERROR('Vigilante Noturno - Diária Rond'!$D$158,0)</f>
        <v>433.18504319332425</v>
      </c>
      <c r="E8" s="66">
        <f>'Vigilante Noturno - Diária Rond'!$E$12</f>
        <v>0</v>
      </c>
      <c r="F8" s="64" t="s">
        <v>167</v>
      </c>
      <c r="G8" s="65">
        <f>D8*E8</f>
        <v>0</v>
      </c>
      <c r="H8" s="64">
        <f>'Vigilante Noturno - Diária Rond'!$D$12</f>
        <v>0</v>
      </c>
      <c r="I8" s="67">
        <f>H8*G8</f>
        <v>0</v>
      </c>
    </row>
    <row r="9" spans="1:9" x14ac:dyDescent="0.2">
      <c r="A9" s="177" t="s">
        <v>169</v>
      </c>
      <c r="B9" s="177"/>
      <c r="C9" s="177"/>
      <c r="D9" s="177"/>
      <c r="E9" s="177"/>
      <c r="F9" s="177"/>
      <c r="G9" s="177"/>
      <c r="H9" s="177"/>
      <c r="I9" s="68">
        <f>SUM(I5:I8)</f>
        <v>35962.713120143264</v>
      </c>
    </row>
    <row r="10" spans="1:9" ht="29.25" customHeight="1" x14ac:dyDescent="0.2"/>
    <row r="11" spans="1:9" x14ac:dyDescent="0.2">
      <c r="A11" s="178" t="s">
        <v>170</v>
      </c>
      <c r="B11" s="178"/>
      <c r="C11" s="178"/>
      <c r="D11" s="178"/>
      <c r="E11" s="178"/>
      <c r="F11" s="178"/>
      <c r="G11" s="178"/>
      <c r="H11" s="178"/>
      <c r="I11" s="178"/>
    </row>
    <row r="12" spans="1:9" x14ac:dyDescent="0.2">
      <c r="A12" s="172" t="s">
        <v>171</v>
      </c>
      <c r="B12" s="172"/>
      <c r="C12" s="172"/>
      <c r="D12" s="172"/>
      <c r="E12" s="172"/>
      <c r="F12" s="172"/>
      <c r="G12" s="172"/>
      <c r="H12" s="172"/>
      <c r="I12" s="172"/>
    </row>
    <row r="13" spans="1:9" x14ac:dyDescent="0.2">
      <c r="A13" s="172" t="s">
        <v>92</v>
      </c>
      <c r="B13" s="172"/>
      <c r="C13" s="172"/>
      <c r="D13" s="172"/>
      <c r="E13" s="172"/>
      <c r="F13" s="172"/>
      <c r="G13" s="172"/>
      <c r="H13" s="172"/>
      <c r="I13" s="69" t="s">
        <v>3</v>
      </c>
    </row>
    <row r="14" spans="1:9" x14ac:dyDescent="0.2">
      <c r="A14" s="22"/>
      <c r="B14" s="173" t="s">
        <v>176</v>
      </c>
      <c r="C14" s="173"/>
      <c r="D14" s="173"/>
      <c r="E14" s="173"/>
      <c r="F14" s="173"/>
      <c r="G14" s="173"/>
      <c r="H14" s="173"/>
      <c r="I14" s="70"/>
    </row>
    <row r="15" spans="1:9" x14ac:dyDescent="0.2">
      <c r="A15" s="22" t="s">
        <v>4</v>
      </c>
      <c r="B15" s="174" t="s">
        <v>172</v>
      </c>
      <c r="C15" s="174" t="s">
        <v>173</v>
      </c>
      <c r="D15" s="174" t="s">
        <v>173</v>
      </c>
      <c r="E15" s="174" t="s">
        <v>173</v>
      </c>
      <c r="F15" s="174" t="s">
        <v>173</v>
      </c>
      <c r="G15" s="174" t="s">
        <v>173</v>
      </c>
      <c r="H15" s="174" t="s">
        <v>173</v>
      </c>
      <c r="I15" s="71">
        <f>SUM(I5:I8)</f>
        <v>35962.713120143264</v>
      </c>
    </row>
    <row r="16" spans="1:9" x14ac:dyDescent="0.2">
      <c r="A16" s="169" t="s">
        <v>6</v>
      </c>
      <c r="B16" s="173" t="s">
        <v>274</v>
      </c>
      <c r="C16" s="173" t="s">
        <v>174</v>
      </c>
      <c r="D16" s="173" t="s">
        <v>174</v>
      </c>
      <c r="E16" s="173" t="s">
        <v>174</v>
      </c>
      <c r="F16" s="173" t="s">
        <v>174</v>
      </c>
      <c r="G16" s="173" t="s">
        <v>174</v>
      </c>
      <c r="H16" s="173" t="s">
        <v>174</v>
      </c>
      <c r="I16" s="72">
        <f>I15*12</f>
        <v>431552.55744171917</v>
      </c>
    </row>
    <row r="17" spans="1:9" hidden="1" x14ac:dyDescent="0.2">
      <c r="A17" s="22" t="s">
        <v>8</v>
      </c>
      <c r="B17" s="174" t="s">
        <v>275</v>
      </c>
      <c r="C17" s="174"/>
      <c r="D17" s="174"/>
      <c r="E17" s="174"/>
      <c r="F17" s="174"/>
      <c r="G17" s="174"/>
      <c r="H17" s="174"/>
      <c r="I17" s="71">
        <f>SUM(I7:I8)</f>
        <v>0</v>
      </c>
    </row>
    <row r="18" spans="1:9" hidden="1" x14ac:dyDescent="0.2">
      <c r="A18" s="169" t="s">
        <v>10</v>
      </c>
      <c r="B18" s="173" t="s">
        <v>276</v>
      </c>
      <c r="C18" s="173" t="s">
        <v>174</v>
      </c>
      <c r="D18" s="173" t="s">
        <v>174</v>
      </c>
      <c r="E18" s="173" t="s">
        <v>174</v>
      </c>
      <c r="F18" s="173" t="s">
        <v>174</v>
      </c>
      <c r="G18" s="173" t="s">
        <v>174</v>
      </c>
      <c r="H18" s="173" t="s">
        <v>174</v>
      </c>
      <c r="I18" s="72">
        <f>I17*24</f>
        <v>0</v>
      </c>
    </row>
    <row r="19" spans="1:9" hidden="1" x14ac:dyDescent="0.2">
      <c r="A19" s="169" t="s">
        <v>12</v>
      </c>
      <c r="B19" s="173" t="s">
        <v>277</v>
      </c>
      <c r="C19" s="173" t="s">
        <v>174</v>
      </c>
      <c r="D19" s="173" t="s">
        <v>174</v>
      </c>
      <c r="E19" s="173" t="s">
        <v>174</v>
      </c>
      <c r="F19" s="173" t="s">
        <v>174</v>
      </c>
      <c r="G19" s="173" t="s">
        <v>174</v>
      </c>
      <c r="H19" s="173" t="s">
        <v>174</v>
      </c>
      <c r="I19" s="72">
        <f>I16+I18</f>
        <v>431552.55744171917</v>
      </c>
    </row>
  </sheetData>
  <mergeCells count="20">
    <mergeCell ref="A1:I1"/>
    <mergeCell ref="A2:B3"/>
    <mergeCell ref="C2:D3"/>
    <mergeCell ref="E2:E3"/>
    <mergeCell ref="F2:G3"/>
    <mergeCell ref="H2:H3"/>
    <mergeCell ref="I2:I3"/>
    <mergeCell ref="A13:H13"/>
    <mergeCell ref="B14:H14"/>
    <mergeCell ref="B15:H15"/>
    <mergeCell ref="B19:H19"/>
    <mergeCell ref="A4:B4"/>
    <mergeCell ref="C4:D4"/>
    <mergeCell ref="F4:G4"/>
    <mergeCell ref="A9:H9"/>
    <mergeCell ref="A11:I11"/>
    <mergeCell ref="A12:I12"/>
    <mergeCell ref="B16:H16"/>
    <mergeCell ref="B17:H17"/>
    <mergeCell ref="B18:H18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topLeftCell="A100" zoomScaleNormal="100" workbookViewId="0">
      <selection activeCell="A128" sqref="A128:XFD128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2.855468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8" t="s">
        <v>0</v>
      </c>
      <c r="B1" s="178"/>
      <c r="C1" s="178"/>
      <c r="D1" s="178"/>
      <c r="E1" s="178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33" t="s">
        <v>106</v>
      </c>
      <c r="C5" s="187"/>
      <c r="D5" s="188"/>
      <c r="H5" s="15"/>
    </row>
    <row r="6" spans="1:9" x14ac:dyDescent="0.25">
      <c r="A6" s="5" t="s">
        <v>6</v>
      </c>
      <c r="B6" s="33" t="s">
        <v>107</v>
      </c>
      <c r="C6" s="188"/>
      <c r="D6" s="188"/>
      <c r="H6" s="15"/>
    </row>
    <row r="7" spans="1:9" ht="25.5" x14ac:dyDescent="0.25">
      <c r="A7" s="5" t="s">
        <v>8</v>
      </c>
      <c r="B7" s="33" t="s">
        <v>108</v>
      </c>
      <c r="C7" s="189" t="s">
        <v>228</v>
      </c>
      <c r="D7" s="189"/>
      <c r="H7" s="15"/>
    </row>
    <row r="8" spans="1:9" x14ac:dyDescent="0.25">
      <c r="A8" s="5" t="s">
        <v>10</v>
      </c>
      <c r="B8" s="33" t="s">
        <v>109</v>
      </c>
      <c r="C8" s="189">
        <v>12</v>
      </c>
      <c r="D8" s="189"/>
      <c r="H8" s="15"/>
    </row>
    <row r="9" spans="1:9" x14ac:dyDescent="0.25">
      <c r="A9" s="190"/>
      <c r="B9" s="190"/>
      <c r="C9" s="190"/>
      <c r="D9" s="190"/>
      <c r="E9" s="21"/>
    </row>
    <row r="10" spans="1:9" x14ac:dyDescent="0.25">
      <c r="A10" s="178" t="s">
        <v>78</v>
      </c>
      <c r="B10" s="178"/>
      <c r="C10" s="178"/>
      <c r="D10" s="178"/>
      <c r="E10" s="178"/>
    </row>
    <row r="11" spans="1:9" ht="25.5" customHeight="1" x14ac:dyDescent="0.25">
      <c r="A11" s="191" t="s">
        <v>79</v>
      </c>
      <c r="B11" s="191"/>
      <c r="C11" s="32" t="s">
        <v>80</v>
      </c>
      <c r="D11" s="73" t="s">
        <v>81</v>
      </c>
      <c r="E11" s="73" t="s">
        <v>179</v>
      </c>
    </row>
    <row r="12" spans="1:9" ht="15.75" customHeight="1" x14ac:dyDescent="0.25">
      <c r="A12" s="192" t="s">
        <v>146</v>
      </c>
      <c r="B12" s="192"/>
      <c r="C12" s="185" t="s">
        <v>82</v>
      </c>
      <c r="D12" s="185">
        <v>2</v>
      </c>
      <c r="E12" s="194">
        <v>2</v>
      </c>
    </row>
    <row r="13" spans="1:9" x14ac:dyDescent="0.25">
      <c r="A13" s="193"/>
      <c r="B13" s="193"/>
      <c r="C13" s="186"/>
      <c r="D13" s="186"/>
      <c r="E13" s="195"/>
    </row>
    <row r="14" spans="1:9" x14ac:dyDescent="0.25">
      <c r="A14" s="4"/>
      <c r="B14" s="4"/>
      <c r="C14" s="4"/>
      <c r="D14" s="4"/>
      <c r="E14" s="4"/>
    </row>
    <row r="15" spans="1:9" x14ac:dyDescent="0.25">
      <c r="A15" s="36">
        <v>1</v>
      </c>
      <c r="B15" s="35" t="s">
        <v>110</v>
      </c>
      <c r="C15" s="197" t="s">
        <v>147</v>
      </c>
      <c r="D15" s="197"/>
      <c r="E15" s="197"/>
      <c r="F15" s="34"/>
    </row>
    <row r="16" spans="1:9" x14ac:dyDescent="0.25">
      <c r="A16" s="36">
        <v>2</v>
      </c>
      <c r="B16" s="35" t="s">
        <v>111</v>
      </c>
      <c r="C16" s="197"/>
      <c r="D16" s="197"/>
      <c r="E16" s="197"/>
      <c r="F16" s="34"/>
    </row>
    <row r="17" spans="1:6" x14ac:dyDescent="0.25">
      <c r="A17" s="36">
        <v>3</v>
      </c>
      <c r="B17" s="35" t="s">
        <v>112</v>
      </c>
      <c r="C17" s="198">
        <f>$D$25</f>
        <v>1449.96</v>
      </c>
      <c r="D17" s="198"/>
      <c r="E17" s="198"/>
      <c r="F17" s="34"/>
    </row>
    <row r="18" spans="1:6" x14ac:dyDescent="0.25">
      <c r="A18" s="36">
        <v>4</v>
      </c>
      <c r="B18" s="35" t="s">
        <v>113</v>
      </c>
      <c r="C18" s="197" t="s">
        <v>148</v>
      </c>
      <c r="D18" s="197"/>
      <c r="E18" s="197"/>
      <c r="F18" s="34"/>
    </row>
    <row r="19" spans="1:6" x14ac:dyDescent="0.25">
      <c r="A19" s="36">
        <v>5</v>
      </c>
      <c r="B19" s="35" t="s">
        <v>114</v>
      </c>
      <c r="C19" s="196">
        <v>44562</v>
      </c>
      <c r="D19" s="197"/>
      <c r="E19" s="197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8" t="s">
        <v>1</v>
      </c>
      <c r="B22" s="178"/>
      <c r="C22" s="178"/>
      <c r="D22" s="178"/>
      <c r="E22" s="178"/>
    </row>
    <row r="24" spans="1:6" ht="25.5" customHeight="1" x14ac:dyDescent="0.25">
      <c r="A24" s="20">
        <v>1</v>
      </c>
      <c r="B24" s="37" t="s">
        <v>2</v>
      </c>
      <c r="C24" s="20" t="s">
        <v>25</v>
      </c>
      <c r="D24" s="20" t="s">
        <v>3</v>
      </c>
      <c r="E24" s="31" t="s">
        <v>126</v>
      </c>
    </row>
    <row r="25" spans="1:6" x14ac:dyDescent="0.25">
      <c r="A25" s="5" t="s">
        <v>4</v>
      </c>
      <c r="B25" s="33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33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33" t="s">
        <v>9</v>
      </c>
      <c r="C27" s="13">
        <v>0</v>
      </c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33" t="s">
        <v>11</v>
      </c>
      <c r="C28" s="13"/>
      <c r="D28" s="6"/>
      <c r="E28" s="22" t="s">
        <v>137</v>
      </c>
    </row>
    <row r="29" spans="1:6" x14ac:dyDescent="0.25">
      <c r="A29" s="5" t="s">
        <v>12</v>
      </c>
      <c r="B29" s="33" t="s">
        <v>13</v>
      </c>
      <c r="C29" s="13"/>
      <c r="D29" s="6"/>
      <c r="E29" s="22" t="s">
        <v>137</v>
      </c>
    </row>
    <row r="30" spans="1:6" x14ac:dyDescent="0.25">
      <c r="A30" s="5" t="s">
        <v>14</v>
      </c>
      <c r="B30" s="33" t="s">
        <v>149</v>
      </c>
      <c r="C30" s="13"/>
      <c r="D30" s="6"/>
      <c r="E30" s="22" t="s">
        <v>137</v>
      </c>
    </row>
    <row r="31" spans="1:6" x14ac:dyDescent="0.25">
      <c r="A31" s="180" t="s">
        <v>16</v>
      </c>
      <c r="B31" s="182"/>
      <c r="C31" s="10"/>
      <c r="D31" s="10">
        <f>SUM(D25:D30)</f>
        <v>1884.9480000000001</v>
      </c>
      <c r="E31" s="10"/>
    </row>
    <row r="34" spans="1:5" x14ac:dyDescent="0.25">
      <c r="A34" s="178" t="s">
        <v>17</v>
      </c>
      <c r="B34" s="178"/>
      <c r="C34" s="178"/>
      <c r="D34" s="178"/>
      <c r="E34" s="178"/>
    </row>
    <row r="35" spans="1:5" x14ac:dyDescent="0.25">
      <c r="A35" s="2"/>
    </row>
    <row r="36" spans="1:5" x14ac:dyDescent="0.25">
      <c r="A36" s="178" t="s">
        <v>18</v>
      </c>
      <c r="B36" s="178"/>
      <c r="C36" s="178"/>
      <c r="D36" s="178"/>
      <c r="E36" s="178"/>
    </row>
    <row r="38" spans="1:5" x14ac:dyDescent="0.25">
      <c r="A38" s="20" t="s">
        <v>19</v>
      </c>
      <c r="B38" s="20" t="s">
        <v>20</v>
      </c>
      <c r="C38" s="20" t="s">
        <v>25</v>
      </c>
      <c r="D38" s="20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157.07900000000001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157.07900000000001</v>
      </c>
      <c r="E40" s="22" t="s">
        <v>127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52.359666666666669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366.51766666666668</v>
      </c>
      <c r="E42" s="22"/>
    </row>
    <row r="45" spans="1:5" x14ac:dyDescent="0.25">
      <c r="A45" s="178" t="s">
        <v>22</v>
      </c>
      <c r="B45" s="178"/>
      <c r="C45" s="178"/>
      <c r="D45" s="178"/>
      <c r="E45" s="178"/>
    </row>
    <row r="47" spans="1:5" x14ac:dyDescent="0.25">
      <c r="A47" s="31" t="s">
        <v>23</v>
      </c>
      <c r="B47" s="31" t="s">
        <v>24</v>
      </c>
      <c r="C47" s="31" t="s">
        <v>25</v>
      </c>
      <c r="D47" s="20" t="s">
        <v>3</v>
      </c>
      <c r="E47" s="31" t="s">
        <v>126</v>
      </c>
    </row>
    <row r="48" spans="1:5" ht="25.5" x14ac:dyDescent="0.25">
      <c r="A48" s="5" t="s">
        <v>4</v>
      </c>
      <c r="B48" s="7" t="s">
        <v>26</v>
      </c>
      <c r="C48" s="8">
        <v>0.2</v>
      </c>
      <c r="D48" s="6">
        <f>($D$31+$D$42)*C48</f>
        <v>450.2931333333334</v>
      </c>
      <c r="E48" s="7" t="s">
        <v>177</v>
      </c>
    </row>
    <row r="49" spans="1:5" ht="25.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56.286641666666675</v>
      </c>
      <c r="E49" s="7" t="s">
        <v>178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135.08794</v>
      </c>
      <c r="E50" s="7" t="s">
        <v>130</v>
      </c>
    </row>
    <row r="51" spans="1: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33.771985000000001</v>
      </c>
      <c r="E51" s="7" t="s">
        <v>132</v>
      </c>
    </row>
    <row r="52" spans="1:5" ht="38.2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22.514656666666671</v>
      </c>
      <c r="E52" s="7" t="s">
        <v>133</v>
      </c>
    </row>
    <row r="53" spans="1: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13.508794000000002</v>
      </c>
      <c r="E53" s="7" t="s">
        <v>134</v>
      </c>
    </row>
    <row r="54" spans="1:5" ht="25.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4.5029313333333336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180.11725333333337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896.08333533333337</v>
      </c>
      <c r="E56" s="22"/>
    </row>
    <row r="59" spans="1:5" x14ac:dyDescent="0.25">
      <c r="A59" s="178" t="s">
        <v>36</v>
      </c>
      <c r="B59" s="178"/>
      <c r="C59" s="178"/>
      <c r="D59" s="178"/>
      <c r="E59" s="178"/>
    </row>
    <row r="61" spans="1:5" x14ac:dyDescent="0.25">
      <c r="A61" s="31" t="s">
        <v>37</v>
      </c>
      <c r="B61" s="180" t="s">
        <v>38</v>
      </c>
      <c r="C61" s="182"/>
      <c r="D61" s="20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Diurno'!B62,VLOOKUP(B62,Beneficios!$A$1:$F$8,6,FALSE))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247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246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245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244</v>
      </c>
    </row>
    <row r="67" spans="1:5" x14ac:dyDescent="0.25">
      <c r="A67" s="5" t="s">
        <v>30</v>
      </c>
      <c r="B67" s="183" t="s">
        <v>242</v>
      </c>
      <c r="C67" s="184"/>
      <c r="D67" s="6">
        <v>6</v>
      </c>
      <c r="E67" s="22" t="s">
        <v>243</v>
      </c>
    </row>
    <row r="68" spans="1:5" x14ac:dyDescent="0.25">
      <c r="A68" s="5" t="s">
        <v>14</v>
      </c>
      <c r="B68" s="183" t="s">
        <v>15</v>
      </c>
      <c r="C68" s="184"/>
      <c r="D68" s="6"/>
      <c r="E68" s="22" t="s">
        <v>137</v>
      </c>
    </row>
    <row r="69" spans="1:5" x14ac:dyDescent="0.25">
      <c r="A69" s="180" t="s">
        <v>16</v>
      </c>
      <c r="B69" s="181"/>
      <c r="C69" s="182"/>
      <c r="D69" s="10">
        <f>SUM(D62:D68)</f>
        <v>560.57589999999993</v>
      </c>
      <c r="E69" s="22"/>
    </row>
    <row r="72" spans="1:5" x14ac:dyDescent="0.25">
      <c r="A72" s="178" t="s">
        <v>40</v>
      </c>
      <c r="B72" s="178"/>
      <c r="C72" s="178"/>
      <c r="D72" s="178"/>
      <c r="E72" s="178"/>
    </row>
    <row r="74" spans="1:5" x14ac:dyDescent="0.25">
      <c r="A74" s="31">
        <v>2</v>
      </c>
      <c r="B74" s="37" t="s">
        <v>41</v>
      </c>
      <c r="C74" s="41"/>
      <c r="D74" s="20" t="s">
        <v>3</v>
      </c>
      <c r="E74" s="31" t="s">
        <v>90</v>
      </c>
    </row>
    <row r="75" spans="1:5" x14ac:dyDescent="0.25">
      <c r="A75" s="5" t="s">
        <v>19</v>
      </c>
      <c r="B75" s="33" t="s">
        <v>20</v>
      </c>
      <c r="C75" s="39"/>
      <c r="D75" s="6">
        <f>D42</f>
        <v>366.51766666666668</v>
      </c>
      <c r="E75" s="22"/>
    </row>
    <row r="76" spans="1:5" x14ac:dyDescent="0.25">
      <c r="A76" s="5" t="s">
        <v>23</v>
      </c>
      <c r="B76" s="33" t="s">
        <v>24</v>
      </c>
      <c r="C76" s="39"/>
      <c r="D76" s="6">
        <f>D56</f>
        <v>896.08333533333337</v>
      </c>
      <c r="E76" s="22"/>
    </row>
    <row r="77" spans="1:5" x14ac:dyDescent="0.25">
      <c r="A77" s="5" t="s">
        <v>37</v>
      </c>
      <c r="B77" s="33" t="s">
        <v>38</v>
      </c>
      <c r="C77" s="39"/>
      <c r="D77" s="6">
        <f>D69</f>
        <v>560.57589999999993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1823.1769020000002</v>
      </c>
      <c r="E78" s="22"/>
    </row>
    <row r="79" spans="1:5" x14ac:dyDescent="0.25">
      <c r="A79" s="3"/>
    </row>
    <row r="81" spans="1:5" x14ac:dyDescent="0.25">
      <c r="A81" s="178" t="s">
        <v>42</v>
      </c>
      <c r="B81" s="178"/>
      <c r="C81" s="178"/>
      <c r="D81" s="178"/>
      <c r="E81" s="178"/>
    </row>
    <row r="83" spans="1:5" x14ac:dyDescent="0.25">
      <c r="A83" s="31">
        <v>3</v>
      </c>
      <c r="B83" s="31" t="s">
        <v>43</v>
      </c>
      <c r="C83" s="31" t="s">
        <v>25</v>
      </c>
      <c r="D83" s="20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9.3811069444444453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0.7504885555555556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90.058626666666683</v>
      </c>
      <c r="E86" s="7" t="s">
        <v>139</v>
      </c>
    </row>
    <row r="87" spans="1: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43.778499074074077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17.423842631481488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161.39256387222224</v>
      </c>
      <c r="E90" s="42"/>
    </row>
    <row r="93" spans="1:5" x14ac:dyDescent="0.25">
      <c r="A93" s="178" t="s">
        <v>48</v>
      </c>
      <c r="B93" s="178"/>
      <c r="C93" s="178"/>
      <c r="D93" s="178"/>
      <c r="E93" s="178"/>
    </row>
    <row r="95" spans="1:5" x14ac:dyDescent="0.25">
      <c r="A95" s="178" t="s">
        <v>49</v>
      </c>
      <c r="B95" s="178"/>
      <c r="C95" s="178"/>
      <c r="D95" s="178"/>
      <c r="E95" s="178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20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16.066021545108917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0.76100510162153701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1.3516887564209659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3.5505454021254432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8.6060836723723622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30.33534447764923</v>
      </c>
      <c r="E104" s="22"/>
    </row>
    <row r="107" spans="1:5" x14ac:dyDescent="0.25">
      <c r="A107" s="178" t="s">
        <v>56</v>
      </c>
      <c r="B107" s="178"/>
      <c r="C107" s="178"/>
      <c r="D107" s="178"/>
      <c r="E107" s="178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20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D31/220*0.5*1.5*15</f>
        <v>96.389386363636376</v>
      </c>
      <c r="E110" s="22" t="s">
        <v>137</v>
      </c>
    </row>
    <row r="111" spans="1:5" x14ac:dyDescent="0.25">
      <c r="A111" s="180" t="s">
        <v>16</v>
      </c>
      <c r="B111" s="181"/>
      <c r="C111" s="182"/>
      <c r="D111" s="6">
        <f>D110</f>
        <v>96.389386363636376</v>
      </c>
      <c r="E111" s="22"/>
    </row>
    <row r="114" spans="1:5" x14ac:dyDescent="0.25">
      <c r="A114" s="178" t="s">
        <v>59</v>
      </c>
      <c r="B114" s="178"/>
      <c r="C114" s="178"/>
      <c r="D114" s="178"/>
      <c r="E114" s="178"/>
    </row>
    <row r="115" spans="1:5" x14ac:dyDescent="0.25">
      <c r="A115" s="2"/>
    </row>
    <row r="116" spans="1:5" x14ac:dyDescent="0.25">
      <c r="A116" s="31">
        <v>4</v>
      </c>
      <c r="B116" s="37" t="s">
        <v>60</v>
      </c>
      <c r="C116" s="41"/>
      <c r="D116" s="20" t="s">
        <v>3</v>
      </c>
      <c r="E116" s="31" t="s">
        <v>90</v>
      </c>
    </row>
    <row r="117" spans="1:5" x14ac:dyDescent="0.25">
      <c r="A117" s="5" t="s">
        <v>50</v>
      </c>
      <c r="B117" s="33" t="s">
        <v>51</v>
      </c>
      <c r="C117" s="39"/>
      <c r="D117" s="6">
        <f>D104</f>
        <v>30.33534447764923</v>
      </c>
      <c r="E117" s="22"/>
    </row>
    <row r="118" spans="1:5" x14ac:dyDescent="0.25">
      <c r="A118" s="5" t="s">
        <v>57</v>
      </c>
      <c r="B118" s="33" t="s">
        <v>58</v>
      </c>
      <c r="C118" s="39"/>
      <c r="D118" s="6">
        <f>D111</f>
        <v>96.389386363636376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126.72473084128561</v>
      </c>
      <c r="E119" s="22"/>
    </row>
    <row r="122" spans="1:5" x14ac:dyDescent="0.25">
      <c r="A122" s="178" t="s">
        <v>61</v>
      </c>
      <c r="B122" s="178"/>
      <c r="C122" s="178"/>
      <c r="D122" s="178"/>
      <c r="E122" s="178"/>
    </row>
    <row r="124" spans="1:5" x14ac:dyDescent="0.25">
      <c r="A124" s="31">
        <v>5</v>
      </c>
      <c r="B124" s="37" t="s">
        <v>62</v>
      </c>
      <c r="C124" s="41"/>
      <c r="D124" s="31" t="s">
        <v>3</v>
      </c>
      <c r="E124" s="31" t="s">
        <v>126</v>
      </c>
    </row>
    <row r="125" spans="1:5" x14ac:dyDescent="0.25">
      <c r="A125" s="5" t="s">
        <v>4</v>
      </c>
      <c r="B125" s="33" t="s">
        <v>63</v>
      </c>
      <c r="C125" s="39"/>
      <c r="D125" s="6">
        <f>SUMIFS(Uniformes!F:F,Uniformes!G:G,"Vigilante Diurno")</f>
        <v>143.78416666666666</v>
      </c>
      <c r="E125" s="42"/>
    </row>
    <row r="126" spans="1:5" x14ac:dyDescent="0.25">
      <c r="A126" s="5" t="s">
        <v>6</v>
      </c>
      <c r="B126" s="33" t="s">
        <v>64</v>
      </c>
      <c r="C126" s="39"/>
      <c r="D126" s="6">
        <f>SUMIFS(Materiais!F:F,Materiais!G:G,"Vigilante Diurno")</f>
        <v>2.6349999999999998</v>
      </c>
      <c r="E126" s="42"/>
    </row>
    <row r="127" spans="1:5" x14ac:dyDescent="0.25">
      <c r="A127" s="5" t="s">
        <v>8</v>
      </c>
      <c r="B127" s="33" t="s">
        <v>65</v>
      </c>
      <c r="C127" s="39"/>
      <c r="D127" s="6">
        <f>SUMIFS(Equipamentos!I:I,Equipamentos!J:J,"Vigilante Diurno")/4</f>
        <v>1.6237083333333333</v>
      </c>
      <c r="E127" s="42"/>
    </row>
    <row r="128" spans="1:5" x14ac:dyDescent="0.25">
      <c r="A128" s="5" t="s">
        <v>10</v>
      </c>
      <c r="B128" s="33" t="s">
        <v>272</v>
      </c>
      <c r="C128" s="39"/>
      <c r="D128" s="6">
        <f>SUMIFS('EPI''s'!F:F,'EPI''s'!G:G,"Vigilante Diurno")</f>
        <v>102.22666666666667</v>
      </c>
      <c r="E128" s="22"/>
    </row>
    <row r="129" spans="1:5" x14ac:dyDescent="0.25">
      <c r="A129" s="180" t="s">
        <v>35</v>
      </c>
      <c r="B129" s="181"/>
      <c r="C129" s="182"/>
      <c r="D129" s="10">
        <f>SUM(D125:D128)</f>
        <v>250.26954166666667</v>
      </c>
      <c r="E129" s="22"/>
    </row>
    <row r="132" spans="1:5" x14ac:dyDescent="0.25">
      <c r="A132" s="178" t="s">
        <v>66</v>
      </c>
      <c r="B132" s="178"/>
      <c r="C132" s="178"/>
      <c r="D132" s="178"/>
      <c r="E132" s="178"/>
    </row>
    <row r="134" spans="1:5" x14ac:dyDescent="0.25">
      <c r="A134" s="31">
        <v>6</v>
      </c>
      <c r="B134" s="11" t="s">
        <v>67</v>
      </c>
      <c r="C134" s="31" t="s">
        <v>25</v>
      </c>
      <c r="D134" s="20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212.32558691900877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445.88373252991846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815.07026325439915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94.376556797877797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434.70414040234618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285.9895660541751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1473.2795827033265</v>
      </c>
      <c r="E144" s="22"/>
    </row>
    <row r="147" spans="1:5" x14ac:dyDescent="0.25">
      <c r="A147" s="178" t="s">
        <v>73</v>
      </c>
      <c r="B147" s="178"/>
      <c r="C147" s="178"/>
      <c r="D147" s="178"/>
      <c r="E147" s="178"/>
    </row>
    <row r="149" spans="1:5" x14ac:dyDescent="0.25">
      <c r="A149" s="31"/>
      <c r="B149" s="37" t="s">
        <v>74</v>
      </c>
      <c r="C149" s="41"/>
      <c r="D149" s="20" t="s">
        <v>3</v>
      </c>
      <c r="E149" s="20" t="s">
        <v>90</v>
      </c>
    </row>
    <row r="150" spans="1:5" x14ac:dyDescent="0.25">
      <c r="A150" s="5" t="s">
        <v>4</v>
      </c>
      <c r="B150" s="33" t="s">
        <v>1</v>
      </c>
      <c r="C150" s="39"/>
      <c r="D150" s="6">
        <f>D31</f>
        <v>1884.9480000000001</v>
      </c>
      <c r="E150" s="22"/>
    </row>
    <row r="151" spans="1:5" x14ac:dyDescent="0.25">
      <c r="A151" s="5" t="s">
        <v>6</v>
      </c>
      <c r="B151" s="33" t="s">
        <v>17</v>
      </c>
      <c r="C151" s="39"/>
      <c r="D151" s="6">
        <f>D78</f>
        <v>1823.1769020000002</v>
      </c>
      <c r="E151" s="22"/>
    </row>
    <row r="152" spans="1:5" x14ac:dyDescent="0.25">
      <c r="A152" s="5" t="s">
        <v>8</v>
      </c>
      <c r="B152" s="33" t="s">
        <v>42</v>
      </c>
      <c r="C152" s="39"/>
      <c r="D152" s="6">
        <f>D90</f>
        <v>161.39256387222224</v>
      </c>
      <c r="E152" s="22"/>
    </row>
    <row r="153" spans="1:5" x14ac:dyDescent="0.25">
      <c r="A153" s="5" t="s">
        <v>10</v>
      </c>
      <c r="B153" s="33" t="s">
        <v>48</v>
      </c>
      <c r="C153" s="38"/>
      <c r="D153" s="6">
        <f>D119</f>
        <v>126.72473084128561</v>
      </c>
      <c r="E153" s="22"/>
    </row>
    <row r="154" spans="1:5" x14ac:dyDescent="0.25">
      <c r="A154" s="5" t="s">
        <v>12</v>
      </c>
      <c r="B154" s="33" t="s">
        <v>61</v>
      </c>
      <c r="C154" s="38"/>
      <c r="D154" s="6">
        <f>D129</f>
        <v>250.26954166666667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4246.5117383801753</v>
      </c>
      <c r="E155" s="22"/>
    </row>
    <row r="156" spans="1:5" x14ac:dyDescent="0.25">
      <c r="A156" s="23" t="s">
        <v>30</v>
      </c>
      <c r="B156" s="33" t="s">
        <v>76</v>
      </c>
      <c r="C156" s="38"/>
      <c r="D156" s="6">
        <f>D144</f>
        <v>1473.2795827033265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5719.7913210835013</v>
      </c>
      <c r="E157" s="22"/>
    </row>
    <row r="158" spans="1:5" ht="15.75" customHeight="1" x14ac:dyDescent="0.25">
      <c r="A158" s="180" t="s">
        <v>83</v>
      </c>
      <c r="B158" s="181"/>
      <c r="C158" s="182"/>
      <c r="D158" s="10">
        <f>D157*E12</f>
        <v>11439.582642167003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D158*12</f>
        <v>137274.99170600402</v>
      </c>
      <c r="E159" s="22"/>
    </row>
  </sheetData>
  <mergeCells count="54">
    <mergeCell ref="A59:E59"/>
    <mergeCell ref="A72:E72"/>
    <mergeCell ref="A81:E81"/>
    <mergeCell ref="A93:E93"/>
    <mergeCell ref="A95:E95"/>
    <mergeCell ref="A78:C78"/>
    <mergeCell ref="B61:C61"/>
    <mergeCell ref="B62:C62"/>
    <mergeCell ref="B63:C63"/>
    <mergeCell ref="A36:E36"/>
    <mergeCell ref="A45:E45"/>
    <mergeCell ref="C19:E19"/>
    <mergeCell ref="C15:E15"/>
    <mergeCell ref="C16:E16"/>
    <mergeCell ref="C17:E17"/>
    <mergeCell ref="C18:E18"/>
    <mergeCell ref="A31:B31"/>
    <mergeCell ref="A22:E22"/>
    <mergeCell ref="A11:B11"/>
    <mergeCell ref="A12:B13"/>
    <mergeCell ref="D12:D13"/>
    <mergeCell ref="A34:E34"/>
    <mergeCell ref="E12:E13"/>
    <mergeCell ref="A1:E1"/>
    <mergeCell ref="A10:E10"/>
    <mergeCell ref="A69:C69"/>
    <mergeCell ref="A42:B42"/>
    <mergeCell ref="A56:B56"/>
    <mergeCell ref="B64:C64"/>
    <mergeCell ref="B65:C65"/>
    <mergeCell ref="B66:C66"/>
    <mergeCell ref="B67:C67"/>
    <mergeCell ref="B68:C68"/>
    <mergeCell ref="C12:C13"/>
    <mergeCell ref="C5:D5"/>
    <mergeCell ref="C6:D6"/>
    <mergeCell ref="C7:D7"/>
    <mergeCell ref="C8:D8"/>
    <mergeCell ref="A9:D9"/>
    <mergeCell ref="A104:C104"/>
    <mergeCell ref="A159:C159"/>
    <mergeCell ref="A129:C129"/>
    <mergeCell ref="A119:C119"/>
    <mergeCell ref="A155:C155"/>
    <mergeCell ref="A157:C157"/>
    <mergeCell ref="A158:C158"/>
    <mergeCell ref="A107:E107"/>
    <mergeCell ref="A114:E114"/>
    <mergeCell ref="A122:E122"/>
    <mergeCell ref="A132:E132"/>
    <mergeCell ref="A147:E147"/>
    <mergeCell ref="B109:C109"/>
    <mergeCell ref="B110:C110"/>
    <mergeCell ref="A111:C111"/>
  </mergeCells>
  <dataValidations count="2">
    <dataValidation type="list" allowBlank="1" showInputMessage="1" showErrorMessage="1" sqref="G3">
      <formula1>$P$1:$P$3</formula1>
    </dataValidation>
    <dataValidation type="list" allowBlank="1" showInputMessage="1" showErrorMessage="1" sqref="G1">
      <formula1>$O$1:$O$2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ignoredErrors>
    <ignoredError sqref="D159" evalErro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M31" sqref="M31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0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8" t="s">
        <v>0</v>
      </c>
      <c r="B1" s="178"/>
      <c r="C1" s="178"/>
      <c r="D1" s="178"/>
      <c r="E1" s="178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78" t="s">
        <v>106</v>
      </c>
      <c r="C5" s="199"/>
      <c r="D5" s="189"/>
      <c r="H5" s="15"/>
    </row>
    <row r="6" spans="1:9" x14ac:dyDescent="0.25">
      <c r="A6" s="5" t="s">
        <v>6</v>
      </c>
      <c r="B6" s="78" t="s">
        <v>107</v>
      </c>
      <c r="C6" s="189"/>
      <c r="D6" s="189"/>
      <c r="H6" s="15"/>
    </row>
    <row r="7" spans="1:9" ht="25.5" x14ac:dyDescent="0.25">
      <c r="A7" s="5" t="s">
        <v>8</v>
      </c>
      <c r="B7" s="78" t="s">
        <v>108</v>
      </c>
      <c r="C7" s="189" t="s">
        <v>228</v>
      </c>
      <c r="D7" s="189"/>
      <c r="H7" s="15"/>
    </row>
    <row r="8" spans="1:9" x14ac:dyDescent="0.25">
      <c r="A8" s="5" t="s">
        <v>10</v>
      </c>
      <c r="B8" s="78" t="s">
        <v>109</v>
      </c>
      <c r="C8" s="189">
        <v>12</v>
      </c>
      <c r="D8" s="189"/>
      <c r="H8" s="15"/>
    </row>
    <row r="9" spans="1:9" x14ac:dyDescent="0.25">
      <c r="A9" s="190"/>
      <c r="B9" s="190"/>
      <c r="C9" s="190"/>
      <c r="D9" s="190"/>
      <c r="E9" s="81"/>
    </row>
    <row r="10" spans="1:9" x14ac:dyDescent="0.25">
      <c r="A10" s="178" t="s">
        <v>78</v>
      </c>
      <c r="B10" s="178"/>
      <c r="C10" s="178"/>
      <c r="D10" s="178"/>
      <c r="E10" s="178"/>
    </row>
    <row r="11" spans="1:9" ht="25.5" customHeight="1" x14ac:dyDescent="0.25">
      <c r="A11" s="191" t="s">
        <v>79</v>
      </c>
      <c r="B11" s="191"/>
      <c r="C11" s="73" t="s">
        <v>80</v>
      </c>
      <c r="D11" s="73" t="s">
        <v>81</v>
      </c>
      <c r="E11" s="73" t="s">
        <v>179</v>
      </c>
    </row>
    <row r="12" spans="1:9" ht="15.75" customHeight="1" x14ac:dyDescent="0.25">
      <c r="A12" s="192" t="s">
        <v>146</v>
      </c>
      <c r="B12" s="192"/>
      <c r="C12" s="185" t="s">
        <v>82</v>
      </c>
      <c r="D12" s="185"/>
      <c r="E12" s="194"/>
    </row>
    <row r="13" spans="1:9" x14ac:dyDescent="0.25">
      <c r="A13" s="193"/>
      <c r="B13" s="193"/>
      <c r="C13" s="186"/>
      <c r="D13" s="186"/>
      <c r="E13" s="195"/>
    </row>
    <row r="14" spans="1:9" x14ac:dyDescent="0.25">
      <c r="A14" s="4"/>
      <c r="B14" s="4"/>
      <c r="C14" s="4"/>
      <c r="D14" s="4"/>
      <c r="E14" s="4"/>
    </row>
    <row r="15" spans="1:9" x14ac:dyDescent="0.25">
      <c r="A15" s="80">
        <v>1</v>
      </c>
      <c r="B15" s="35" t="s">
        <v>110</v>
      </c>
      <c r="C15" s="197" t="s">
        <v>226</v>
      </c>
      <c r="D15" s="197"/>
      <c r="E15" s="197"/>
      <c r="F15" s="34"/>
    </row>
    <row r="16" spans="1:9" x14ac:dyDescent="0.25">
      <c r="A16" s="80">
        <v>2</v>
      </c>
      <c r="B16" s="35" t="s">
        <v>111</v>
      </c>
      <c r="C16" s="197"/>
      <c r="D16" s="197"/>
      <c r="E16" s="197"/>
      <c r="F16" s="34"/>
    </row>
    <row r="17" spans="1:6" x14ac:dyDescent="0.25">
      <c r="A17" s="80">
        <v>3</v>
      </c>
      <c r="B17" s="35" t="s">
        <v>112</v>
      </c>
      <c r="C17" s="198">
        <f>$D$25</f>
        <v>1449.96</v>
      </c>
      <c r="D17" s="198"/>
      <c r="E17" s="198"/>
      <c r="F17" s="34"/>
    </row>
    <row r="18" spans="1:6" x14ac:dyDescent="0.25">
      <c r="A18" s="80">
        <v>4</v>
      </c>
      <c r="B18" s="35" t="s">
        <v>113</v>
      </c>
      <c r="C18" s="197" t="s">
        <v>148</v>
      </c>
      <c r="D18" s="197"/>
      <c r="E18" s="197"/>
      <c r="F18" s="34"/>
    </row>
    <row r="19" spans="1:6" x14ac:dyDescent="0.25">
      <c r="A19" s="80">
        <v>5</v>
      </c>
      <c r="B19" s="35" t="s">
        <v>114</v>
      </c>
      <c r="C19" s="196">
        <v>44562</v>
      </c>
      <c r="D19" s="197"/>
      <c r="E19" s="197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8" t="s">
        <v>1</v>
      </c>
      <c r="B22" s="178"/>
      <c r="C22" s="178"/>
      <c r="D22" s="178"/>
      <c r="E22" s="178"/>
    </row>
    <row r="24" spans="1:6" ht="25.5" customHeight="1" x14ac:dyDescent="0.25">
      <c r="A24" s="31">
        <v>1</v>
      </c>
      <c r="B24" s="76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78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78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78" t="s">
        <v>9</v>
      </c>
      <c r="C27" s="13">
        <v>0</v>
      </c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78" t="s">
        <v>11</v>
      </c>
      <c r="C28" s="13"/>
      <c r="D28" s="6"/>
      <c r="E28" s="22" t="s">
        <v>137</v>
      </c>
    </row>
    <row r="29" spans="1:6" x14ac:dyDescent="0.25">
      <c r="A29" s="5" t="s">
        <v>12</v>
      </c>
      <c r="B29" s="78" t="s">
        <v>13</v>
      </c>
      <c r="C29" s="13"/>
      <c r="D29" s="6"/>
      <c r="E29" s="22" t="s">
        <v>137</v>
      </c>
    </row>
    <row r="30" spans="1:6" x14ac:dyDescent="0.25">
      <c r="A30" s="5" t="s">
        <v>14</v>
      </c>
      <c r="B30" s="78" t="s">
        <v>149</v>
      </c>
      <c r="C30" s="13"/>
      <c r="D30" s="6"/>
      <c r="E30" s="22" t="s">
        <v>137</v>
      </c>
    </row>
    <row r="31" spans="1:6" x14ac:dyDescent="0.25">
      <c r="A31" s="180" t="s">
        <v>16</v>
      </c>
      <c r="B31" s="182"/>
      <c r="C31" s="10"/>
      <c r="D31" s="10">
        <f>SUM(D25:D30)</f>
        <v>1884.9480000000001</v>
      </c>
      <c r="E31" s="10"/>
    </row>
    <row r="34" spans="1:5" x14ac:dyDescent="0.25">
      <c r="A34" s="178" t="s">
        <v>17</v>
      </c>
      <c r="B34" s="178"/>
      <c r="C34" s="178"/>
      <c r="D34" s="178"/>
      <c r="E34" s="178"/>
    </row>
    <row r="35" spans="1:5" x14ac:dyDescent="0.25">
      <c r="A35" s="2"/>
    </row>
    <row r="36" spans="1:5" x14ac:dyDescent="0.25">
      <c r="A36" s="178" t="s">
        <v>18</v>
      </c>
      <c r="B36" s="178"/>
      <c r="C36" s="178"/>
      <c r="D36" s="178"/>
      <c r="E36" s="178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157.07900000000001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157.07900000000001</v>
      </c>
      <c r="E40" s="22" t="s">
        <v>127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52.359666666666669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366.51766666666668</v>
      </c>
      <c r="E42" s="22"/>
    </row>
    <row r="45" spans="1:5" x14ac:dyDescent="0.25">
      <c r="A45" s="178" t="s">
        <v>22</v>
      </c>
      <c r="B45" s="178"/>
      <c r="C45" s="178"/>
      <c r="D45" s="178"/>
      <c r="E45" s="178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25.5" x14ac:dyDescent="0.25">
      <c r="A48" s="5" t="s">
        <v>4</v>
      </c>
      <c r="B48" s="7" t="s">
        <v>26</v>
      </c>
      <c r="C48" s="8">
        <v>0.2</v>
      </c>
      <c r="D48" s="6">
        <f>($D$31+$D$42)*C48</f>
        <v>450.2931333333334</v>
      </c>
      <c r="E48" s="7" t="s">
        <v>177</v>
      </c>
    </row>
    <row r="49" spans="1:5" ht="25.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56.286641666666675</v>
      </c>
      <c r="E49" s="7" t="s">
        <v>178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135.08794</v>
      </c>
      <c r="E50" s="7" t="s">
        <v>130</v>
      </c>
    </row>
    <row r="51" spans="1:5" ht="25.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33.771985000000001</v>
      </c>
      <c r="E51" s="7" t="s">
        <v>132</v>
      </c>
    </row>
    <row r="52" spans="1:5" ht="63.7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22.514656666666671</v>
      </c>
      <c r="E52" s="7" t="s">
        <v>133</v>
      </c>
    </row>
    <row r="53" spans="1:5" ht="25.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13.508794000000002</v>
      </c>
      <c r="E53" s="7" t="s">
        <v>134</v>
      </c>
    </row>
    <row r="54" spans="1:5" ht="38.2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4.5029313333333336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180.11725333333337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896.08333533333337</v>
      </c>
      <c r="E56" s="22"/>
    </row>
    <row r="59" spans="1:5" x14ac:dyDescent="0.25">
      <c r="A59" s="178" t="s">
        <v>36</v>
      </c>
      <c r="B59" s="178"/>
      <c r="C59" s="178"/>
      <c r="D59" s="178"/>
      <c r="E59" s="178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Diurno - Diária'!B62,VLOOKUP(B62,Beneficios!$A$1:$F$8,6,FALSE))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30</v>
      </c>
      <c r="B67" s="183" t="s">
        <v>242</v>
      </c>
      <c r="C67" s="184"/>
      <c r="D67" s="6">
        <v>6</v>
      </c>
      <c r="E67" s="22" t="s">
        <v>243</v>
      </c>
    </row>
    <row r="68" spans="1:5" x14ac:dyDescent="0.25">
      <c r="A68" s="5" t="s">
        <v>14</v>
      </c>
      <c r="B68" s="183" t="s">
        <v>15</v>
      </c>
      <c r="C68" s="184"/>
      <c r="D68" s="6"/>
      <c r="E68" s="22" t="s">
        <v>137</v>
      </c>
    </row>
    <row r="69" spans="1:5" x14ac:dyDescent="0.25">
      <c r="A69" s="180" t="s">
        <v>16</v>
      </c>
      <c r="B69" s="181"/>
      <c r="C69" s="182"/>
      <c r="D69" s="10">
        <f>SUM(D62:D68)</f>
        <v>560.57589999999993</v>
      </c>
      <c r="E69" s="22"/>
    </row>
    <row r="72" spans="1:5" x14ac:dyDescent="0.25">
      <c r="A72" s="178" t="s">
        <v>40</v>
      </c>
      <c r="B72" s="178"/>
      <c r="C72" s="178"/>
      <c r="D72" s="178"/>
      <c r="E72" s="178"/>
    </row>
    <row r="74" spans="1:5" x14ac:dyDescent="0.25">
      <c r="A74" s="31">
        <v>2</v>
      </c>
      <c r="B74" s="76" t="s">
        <v>41</v>
      </c>
      <c r="C74" s="77"/>
      <c r="D74" s="31" t="s">
        <v>3</v>
      </c>
      <c r="E74" s="31" t="s">
        <v>90</v>
      </c>
    </row>
    <row r="75" spans="1:5" x14ac:dyDescent="0.25">
      <c r="A75" s="5" t="s">
        <v>19</v>
      </c>
      <c r="B75" s="78" t="s">
        <v>20</v>
      </c>
      <c r="C75" s="79"/>
      <c r="D75" s="6">
        <f>D42</f>
        <v>366.51766666666668</v>
      </c>
      <c r="E75" s="22"/>
    </row>
    <row r="76" spans="1:5" x14ac:dyDescent="0.25">
      <c r="A76" s="5" t="s">
        <v>23</v>
      </c>
      <c r="B76" s="78" t="s">
        <v>24</v>
      </c>
      <c r="C76" s="79"/>
      <c r="D76" s="6">
        <f>D56</f>
        <v>896.08333533333337</v>
      </c>
      <c r="E76" s="22"/>
    </row>
    <row r="77" spans="1:5" x14ac:dyDescent="0.25">
      <c r="A77" s="5" t="s">
        <v>37</v>
      </c>
      <c r="B77" s="78" t="s">
        <v>38</v>
      </c>
      <c r="C77" s="79"/>
      <c r="D77" s="6">
        <f>D69</f>
        <v>560.57589999999993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1823.1769020000002</v>
      </c>
      <c r="E78" s="22"/>
    </row>
    <row r="79" spans="1:5" x14ac:dyDescent="0.25">
      <c r="A79" s="3"/>
    </row>
    <row r="81" spans="1:5" x14ac:dyDescent="0.25">
      <c r="A81" s="178" t="s">
        <v>42</v>
      </c>
      <c r="B81" s="178"/>
      <c r="C81" s="178"/>
      <c r="D81" s="178"/>
      <c r="E81" s="178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9.3811069444444453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0.7504885555555556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90.058626666666683</v>
      </c>
      <c r="E86" s="7" t="s">
        <v>139</v>
      </c>
    </row>
    <row r="87" spans="1:5" ht="25.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43.778499074074077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17.423842631481488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161.39256387222224</v>
      </c>
      <c r="E90" s="42"/>
    </row>
    <row r="93" spans="1:5" x14ac:dyDescent="0.25">
      <c r="A93" s="178" t="s">
        <v>48</v>
      </c>
      <c r="B93" s="178"/>
      <c r="C93" s="178"/>
      <c r="D93" s="178"/>
      <c r="E93" s="178"/>
    </row>
    <row r="95" spans="1:5" x14ac:dyDescent="0.25">
      <c r="A95" s="178" t="s">
        <v>49</v>
      </c>
      <c r="B95" s="178"/>
      <c r="C95" s="178"/>
      <c r="D95" s="178"/>
      <c r="E95" s="178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16.066021545108917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0.76100510162153701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1.3516887564209659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3.5505454021254432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8.6060836723723622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30.33534447764923</v>
      </c>
      <c r="E104" s="22"/>
    </row>
    <row r="107" spans="1:5" x14ac:dyDescent="0.25">
      <c r="A107" s="178" t="s">
        <v>56</v>
      </c>
      <c r="B107" s="178"/>
      <c r="C107" s="178"/>
      <c r="D107" s="178"/>
      <c r="E107" s="178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D31/220*0.5*1.5*15</f>
        <v>96.389386363636376</v>
      </c>
      <c r="E110" s="22" t="s">
        <v>137</v>
      </c>
    </row>
    <row r="111" spans="1:5" x14ac:dyDescent="0.25">
      <c r="A111" s="180" t="s">
        <v>16</v>
      </c>
      <c r="B111" s="181"/>
      <c r="C111" s="182"/>
      <c r="D111" s="6">
        <f>D110</f>
        <v>96.389386363636376</v>
      </c>
      <c r="E111" s="22"/>
    </row>
    <row r="114" spans="1:5" x14ac:dyDescent="0.25">
      <c r="A114" s="178" t="s">
        <v>59</v>
      </c>
      <c r="B114" s="178"/>
      <c r="C114" s="178"/>
      <c r="D114" s="178"/>
      <c r="E114" s="178"/>
    </row>
    <row r="115" spans="1:5" x14ac:dyDescent="0.25">
      <c r="A115" s="2"/>
    </row>
    <row r="116" spans="1:5" x14ac:dyDescent="0.25">
      <c r="A116" s="31">
        <v>4</v>
      </c>
      <c r="B116" s="76" t="s">
        <v>60</v>
      </c>
      <c r="C116" s="77"/>
      <c r="D116" s="31" t="s">
        <v>3</v>
      </c>
      <c r="E116" s="31" t="s">
        <v>90</v>
      </c>
    </row>
    <row r="117" spans="1:5" x14ac:dyDescent="0.25">
      <c r="A117" s="5" t="s">
        <v>50</v>
      </c>
      <c r="B117" s="78" t="s">
        <v>51</v>
      </c>
      <c r="C117" s="79"/>
      <c r="D117" s="6">
        <f>D104</f>
        <v>30.33534447764923</v>
      </c>
      <c r="E117" s="22"/>
    </row>
    <row r="118" spans="1:5" x14ac:dyDescent="0.25">
      <c r="A118" s="5" t="s">
        <v>57</v>
      </c>
      <c r="B118" s="78" t="s">
        <v>58</v>
      </c>
      <c r="C118" s="79"/>
      <c r="D118" s="6">
        <f>D111</f>
        <v>96.389386363636376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126.72473084128561</v>
      </c>
      <c r="E119" s="22"/>
    </row>
    <row r="122" spans="1:5" x14ac:dyDescent="0.25">
      <c r="A122" s="178" t="s">
        <v>61</v>
      </c>
      <c r="B122" s="178"/>
      <c r="C122" s="178"/>
      <c r="D122" s="178"/>
      <c r="E122" s="178"/>
    </row>
    <row r="124" spans="1:5" x14ac:dyDescent="0.25">
      <c r="A124" s="31">
        <v>5</v>
      </c>
      <c r="B124" s="76" t="s">
        <v>62</v>
      </c>
      <c r="C124" s="77"/>
      <c r="D124" s="31" t="s">
        <v>3</v>
      </c>
      <c r="E124" s="31" t="s">
        <v>126</v>
      </c>
    </row>
    <row r="125" spans="1:5" x14ac:dyDescent="0.25">
      <c r="A125" s="5" t="s">
        <v>4</v>
      </c>
      <c r="B125" s="78" t="s">
        <v>63</v>
      </c>
      <c r="C125" s="79"/>
      <c r="D125" s="6">
        <f>SUM(Uniformes!F:F)</f>
        <v>287.56833333333333</v>
      </c>
      <c r="E125" s="42"/>
    </row>
    <row r="126" spans="1:5" x14ac:dyDescent="0.25">
      <c r="A126" s="5" t="s">
        <v>6</v>
      </c>
      <c r="B126" s="78" t="s">
        <v>64</v>
      </c>
      <c r="C126" s="79"/>
      <c r="D126" s="6">
        <f>SUM(Materiais!F:F)</f>
        <v>5.27</v>
      </c>
      <c r="E126" s="42"/>
    </row>
    <row r="127" spans="1:5" x14ac:dyDescent="0.25">
      <c r="A127" s="5" t="s">
        <v>8</v>
      </c>
      <c r="B127" s="78" t="s">
        <v>65</v>
      </c>
      <c r="C127" s="79"/>
      <c r="D127" s="6">
        <f>SUM(Equipamentos!I:I)/SUM(Resumo!E5:E8)</f>
        <v>22.361166666666662</v>
      </c>
      <c r="E127" s="42"/>
    </row>
    <row r="128" spans="1:5" x14ac:dyDescent="0.25">
      <c r="A128" s="5" t="s">
        <v>10</v>
      </c>
      <c r="B128" s="78" t="s">
        <v>15</v>
      </c>
      <c r="C128" s="79"/>
      <c r="D128" s="6"/>
      <c r="E128" s="22"/>
    </row>
    <row r="129" spans="1:5" x14ac:dyDescent="0.25">
      <c r="A129" s="180" t="s">
        <v>35</v>
      </c>
      <c r="B129" s="181"/>
      <c r="C129" s="182"/>
      <c r="D129" s="10">
        <f>SUM(D125:D128)</f>
        <v>315.19949999999994</v>
      </c>
      <c r="E129" s="22"/>
    </row>
    <row r="132" spans="1:5" x14ac:dyDescent="0.25">
      <c r="A132" s="178" t="s">
        <v>66</v>
      </c>
      <c r="B132" s="178"/>
      <c r="C132" s="178"/>
      <c r="D132" s="178"/>
      <c r="E132" s="178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215.57208483567544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452.70137815491836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827.53283995082757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95.81959199430635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441.35084797377465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290.36239998274652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1495.8063029414213</v>
      </c>
      <c r="E144" s="22"/>
    </row>
    <row r="147" spans="1:5" x14ac:dyDescent="0.25">
      <c r="A147" s="178" t="s">
        <v>73</v>
      </c>
      <c r="B147" s="178"/>
      <c r="C147" s="178"/>
      <c r="D147" s="178"/>
      <c r="E147" s="178"/>
    </row>
    <row r="149" spans="1:5" x14ac:dyDescent="0.25">
      <c r="A149" s="31"/>
      <c r="B149" s="76" t="s">
        <v>74</v>
      </c>
      <c r="C149" s="77"/>
      <c r="D149" s="31" t="s">
        <v>3</v>
      </c>
      <c r="E149" s="31" t="s">
        <v>90</v>
      </c>
    </row>
    <row r="150" spans="1:5" x14ac:dyDescent="0.25">
      <c r="A150" s="5" t="s">
        <v>4</v>
      </c>
      <c r="B150" s="78" t="s">
        <v>1</v>
      </c>
      <c r="C150" s="79"/>
      <c r="D150" s="6">
        <f>D31</f>
        <v>1884.9480000000001</v>
      </c>
      <c r="E150" s="22"/>
    </row>
    <row r="151" spans="1:5" x14ac:dyDescent="0.25">
      <c r="A151" s="5" t="s">
        <v>6</v>
      </c>
      <c r="B151" s="78" t="s">
        <v>17</v>
      </c>
      <c r="C151" s="79"/>
      <c r="D151" s="6">
        <f>D78</f>
        <v>1823.1769020000002</v>
      </c>
      <c r="E151" s="22"/>
    </row>
    <row r="152" spans="1:5" x14ac:dyDescent="0.25">
      <c r="A152" s="5" t="s">
        <v>8</v>
      </c>
      <c r="B152" s="78" t="s">
        <v>42</v>
      </c>
      <c r="C152" s="79"/>
      <c r="D152" s="6">
        <f>D90</f>
        <v>161.39256387222224</v>
      </c>
      <c r="E152" s="22"/>
    </row>
    <row r="153" spans="1:5" x14ac:dyDescent="0.25">
      <c r="A153" s="5" t="s">
        <v>10</v>
      </c>
      <c r="B153" s="78" t="s">
        <v>48</v>
      </c>
      <c r="C153" s="38"/>
      <c r="D153" s="6">
        <f>D119</f>
        <v>126.72473084128561</v>
      </c>
      <c r="E153" s="22"/>
    </row>
    <row r="154" spans="1:5" x14ac:dyDescent="0.25">
      <c r="A154" s="5" t="s">
        <v>12</v>
      </c>
      <c r="B154" s="78" t="s">
        <v>61</v>
      </c>
      <c r="C154" s="38"/>
      <c r="D154" s="6">
        <f>D129</f>
        <v>315.19949999999994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4311.4416967135085</v>
      </c>
      <c r="E155" s="22"/>
    </row>
    <row r="156" spans="1:5" x14ac:dyDescent="0.25">
      <c r="A156" s="23" t="s">
        <v>30</v>
      </c>
      <c r="B156" s="78" t="s">
        <v>76</v>
      </c>
      <c r="C156" s="38"/>
      <c r="D156" s="6">
        <f>D144</f>
        <v>1495.8063029414213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5807.24799965493</v>
      </c>
      <c r="E157" s="22"/>
    </row>
    <row r="158" spans="1:5" ht="15.75" customHeight="1" x14ac:dyDescent="0.25">
      <c r="A158" s="180" t="s">
        <v>83</v>
      </c>
      <c r="B158" s="181"/>
      <c r="C158" s="182"/>
      <c r="D158" s="10">
        <f>D157*E12</f>
        <v>0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D158*12</f>
        <v>0</v>
      </c>
      <c r="E159" s="22"/>
    </row>
  </sheetData>
  <mergeCells count="54"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2">
    <dataValidation type="list" allowBlank="1" showInputMessage="1" showErrorMessage="1" sqref="G3">
      <formula1>$P$1:$P$3</formula1>
    </dataValidation>
    <dataValidation type="list" allowBlank="1" showInputMessage="1" showErrorMessage="1" sqref="G1">
      <formula1>$O$1:$O$2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topLeftCell="A127" zoomScaleNormal="100" workbookViewId="0">
      <selection activeCell="D157" sqref="D157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0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8" t="s">
        <v>0</v>
      </c>
      <c r="B1" s="178"/>
      <c r="C1" s="178"/>
      <c r="D1" s="178"/>
      <c r="E1" s="178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59" t="s">
        <v>106</v>
      </c>
      <c r="C5" s="187"/>
      <c r="D5" s="188"/>
      <c r="H5" s="15"/>
    </row>
    <row r="6" spans="1:9" x14ac:dyDescent="0.25">
      <c r="A6" s="5" t="s">
        <v>6</v>
      </c>
      <c r="B6" s="59" t="s">
        <v>107</v>
      </c>
      <c r="C6" s="188"/>
      <c r="D6" s="188"/>
      <c r="H6" s="15"/>
    </row>
    <row r="7" spans="1:9" ht="25.5" x14ac:dyDescent="0.25">
      <c r="A7" s="5" t="s">
        <v>8</v>
      </c>
      <c r="B7" s="59" t="s">
        <v>108</v>
      </c>
      <c r="C7" s="189" t="s">
        <v>228</v>
      </c>
      <c r="D7" s="189"/>
      <c r="H7" s="15"/>
    </row>
    <row r="8" spans="1:9" x14ac:dyDescent="0.25">
      <c r="A8" s="5" t="s">
        <v>10</v>
      </c>
      <c r="B8" s="59" t="s">
        <v>109</v>
      </c>
      <c r="C8" s="189">
        <v>12</v>
      </c>
      <c r="D8" s="189"/>
      <c r="H8" s="15"/>
    </row>
    <row r="9" spans="1:9" x14ac:dyDescent="0.25">
      <c r="A9" s="190"/>
      <c r="B9" s="190"/>
      <c r="C9" s="190"/>
      <c r="D9" s="190"/>
      <c r="E9" s="61"/>
    </row>
    <row r="10" spans="1:9" x14ac:dyDescent="0.25">
      <c r="A10" s="178" t="s">
        <v>78</v>
      </c>
      <c r="B10" s="178"/>
      <c r="C10" s="178"/>
      <c r="D10" s="178"/>
      <c r="E10" s="178"/>
    </row>
    <row r="11" spans="1:9" ht="25.5" customHeight="1" x14ac:dyDescent="0.25">
      <c r="A11" s="191" t="s">
        <v>79</v>
      </c>
      <c r="B11" s="191"/>
      <c r="C11" s="62" t="s">
        <v>80</v>
      </c>
      <c r="D11" s="73" t="s">
        <v>81</v>
      </c>
      <c r="E11" s="73" t="s">
        <v>179</v>
      </c>
    </row>
    <row r="12" spans="1:9" ht="15.75" customHeight="1" x14ac:dyDescent="0.25">
      <c r="A12" s="192" t="s">
        <v>146</v>
      </c>
      <c r="B12" s="192"/>
      <c r="C12" s="185" t="s">
        <v>82</v>
      </c>
      <c r="D12" s="185">
        <v>1</v>
      </c>
      <c r="E12" s="194">
        <v>2</v>
      </c>
    </row>
    <row r="13" spans="1:9" x14ac:dyDescent="0.25">
      <c r="A13" s="193"/>
      <c r="B13" s="193"/>
      <c r="C13" s="186"/>
      <c r="D13" s="186"/>
      <c r="E13" s="195"/>
    </row>
    <row r="14" spans="1:9" x14ac:dyDescent="0.25">
      <c r="A14" s="4"/>
      <c r="B14" s="4"/>
      <c r="C14" s="4"/>
      <c r="D14" s="4"/>
      <c r="E14" s="4"/>
    </row>
    <row r="15" spans="1:9" x14ac:dyDescent="0.25">
      <c r="A15" s="56">
        <v>1</v>
      </c>
      <c r="B15" s="35" t="s">
        <v>110</v>
      </c>
      <c r="C15" s="197" t="s">
        <v>152</v>
      </c>
      <c r="D15" s="197"/>
      <c r="E15" s="197"/>
      <c r="F15" s="34"/>
    </row>
    <row r="16" spans="1:9" x14ac:dyDescent="0.25">
      <c r="A16" s="56">
        <v>2</v>
      </c>
      <c r="B16" s="35" t="s">
        <v>111</v>
      </c>
      <c r="C16" s="197"/>
      <c r="D16" s="197"/>
      <c r="E16" s="197"/>
      <c r="F16" s="34"/>
    </row>
    <row r="17" spans="1:6" x14ac:dyDescent="0.25">
      <c r="A17" s="56">
        <v>3</v>
      </c>
      <c r="B17" s="35" t="s">
        <v>112</v>
      </c>
      <c r="C17" s="198">
        <f>$D$25</f>
        <v>1449.96</v>
      </c>
      <c r="D17" s="198"/>
      <c r="E17" s="198"/>
      <c r="F17" s="34"/>
    </row>
    <row r="18" spans="1:6" x14ac:dyDescent="0.25">
      <c r="A18" s="56">
        <v>4</v>
      </c>
      <c r="B18" s="35" t="s">
        <v>113</v>
      </c>
      <c r="C18" s="197" t="s">
        <v>148</v>
      </c>
      <c r="D18" s="197"/>
      <c r="E18" s="197"/>
      <c r="F18" s="34"/>
    </row>
    <row r="19" spans="1:6" x14ac:dyDescent="0.25">
      <c r="A19" s="56">
        <v>5</v>
      </c>
      <c r="B19" s="35" t="s">
        <v>114</v>
      </c>
      <c r="C19" s="196">
        <v>44562</v>
      </c>
      <c r="D19" s="197"/>
      <c r="E19" s="197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8" t="s">
        <v>1</v>
      </c>
      <c r="B22" s="178"/>
      <c r="C22" s="178"/>
      <c r="D22" s="178"/>
      <c r="E22" s="178"/>
    </row>
    <row r="24" spans="1:6" ht="25.5" customHeight="1" x14ac:dyDescent="0.25">
      <c r="A24" s="31">
        <v>1</v>
      </c>
      <c r="B24" s="57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59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59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59" t="s">
        <v>9</v>
      </c>
      <c r="C27" s="13"/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59" t="s">
        <v>11</v>
      </c>
      <c r="C28" s="13">
        <v>0.2</v>
      </c>
      <c r="D28" s="6">
        <f>(SUM(D25:D26)/220)*$C$28*7*15</f>
        <v>179.92685454545457</v>
      </c>
      <c r="E28" s="22" t="s">
        <v>231</v>
      </c>
    </row>
    <row r="29" spans="1:6" x14ac:dyDescent="0.25">
      <c r="A29" s="5" t="s">
        <v>12</v>
      </c>
      <c r="B29" s="59" t="s">
        <v>13</v>
      </c>
      <c r="C29" s="146">
        <f>60/52.5</f>
        <v>1.1428571428571428</v>
      </c>
      <c r="D29" s="6">
        <f>(SUM(D25:D26)/220)*7*$C$29</f>
        <v>68.543563636363643</v>
      </c>
      <c r="E29" s="22" t="s">
        <v>231</v>
      </c>
    </row>
    <row r="30" spans="1:6" x14ac:dyDescent="0.25">
      <c r="A30" s="5" t="s">
        <v>14</v>
      </c>
      <c r="B30" s="59" t="s">
        <v>149</v>
      </c>
      <c r="C30" s="13"/>
      <c r="D30" s="6"/>
      <c r="E30" s="54"/>
    </row>
    <row r="31" spans="1:6" x14ac:dyDescent="0.25">
      <c r="A31" s="180" t="s">
        <v>16</v>
      </c>
      <c r="B31" s="182"/>
      <c r="C31" s="10"/>
      <c r="D31" s="10">
        <f>SUM(D25:D30)</f>
        <v>2133.4184181818182</v>
      </c>
      <c r="E31" s="10"/>
    </row>
    <row r="34" spans="1:5" x14ac:dyDescent="0.25">
      <c r="A34" s="178" t="s">
        <v>17</v>
      </c>
      <c r="B34" s="178"/>
      <c r="C34" s="178"/>
      <c r="D34" s="178"/>
      <c r="E34" s="178"/>
    </row>
    <row r="35" spans="1:5" x14ac:dyDescent="0.25">
      <c r="A35" s="2"/>
    </row>
    <row r="36" spans="1:5" x14ac:dyDescent="0.25">
      <c r="A36" s="178" t="s">
        <v>18</v>
      </c>
      <c r="B36" s="178"/>
      <c r="C36" s="178"/>
      <c r="D36" s="178"/>
      <c r="E36" s="178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177.78486818181818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177.78486818181818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59.261622727272723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414.83135909090907</v>
      </c>
      <c r="E42" s="22"/>
    </row>
    <row r="45" spans="1:5" x14ac:dyDescent="0.25">
      <c r="A45" s="178" t="s">
        <v>22</v>
      </c>
      <c r="B45" s="178"/>
      <c r="C45" s="178"/>
      <c r="D45" s="178"/>
      <c r="E45" s="178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38.25" x14ac:dyDescent="0.25">
      <c r="A48" s="5" t="s">
        <v>4</v>
      </c>
      <c r="B48" s="7" t="s">
        <v>26</v>
      </c>
      <c r="C48" s="8">
        <v>0.2</v>
      </c>
      <c r="D48" s="6">
        <f>($D$31+$D$42)*C48</f>
        <v>509.64995545454553</v>
      </c>
      <c r="E48" s="7" t="s">
        <v>128</v>
      </c>
    </row>
    <row r="49" spans="1:5" ht="38.2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63.706244431818192</v>
      </c>
      <c r="E49" s="7" t="s">
        <v>129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152.89498663636365</v>
      </c>
      <c r="E50" s="7" t="s">
        <v>130</v>
      </c>
    </row>
    <row r="51" spans="1:5" ht="25.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38.223746659090914</v>
      </c>
      <c r="E51" s="7" t="s">
        <v>132</v>
      </c>
    </row>
    <row r="52" spans="1:5" ht="63.7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25.482497772727275</v>
      </c>
      <c r="E52" s="7" t="s">
        <v>133</v>
      </c>
    </row>
    <row r="53" spans="1:5" ht="25.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15.289498663636365</v>
      </c>
      <c r="E53" s="7" t="s">
        <v>134</v>
      </c>
    </row>
    <row r="54" spans="1:5" ht="38.2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5.0964995545454546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203.8599821818182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1014.2034113545454</v>
      </c>
      <c r="E56" s="22"/>
    </row>
    <row r="59" spans="1:5" x14ac:dyDescent="0.25">
      <c r="A59" s="178" t="s">
        <v>36</v>
      </c>
      <c r="B59" s="178"/>
      <c r="C59" s="178"/>
      <c r="D59" s="178"/>
      <c r="E59" s="178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Noturno'!B62,VLOOKUP(B62,Beneficios!$A$1:$F$8,6,FALSE))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12</v>
      </c>
      <c r="B67" s="183" t="s">
        <v>242</v>
      </c>
      <c r="C67" s="184"/>
      <c r="D67" s="6">
        <v>6</v>
      </c>
      <c r="E67" s="22" t="s">
        <v>243</v>
      </c>
    </row>
    <row r="68" spans="1:5" x14ac:dyDescent="0.25">
      <c r="A68" s="5" t="s">
        <v>30</v>
      </c>
      <c r="B68" s="183" t="s">
        <v>15</v>
      </c>
      <c r="C68" s="184"/>
      <c r="D68" s="6">
        <v>0</v>
      </c>
      <c r="E68" s="22" t="s">
        <v>137</v>
      </c>
    </row>
    <row r="69" spans="1:5" x14ac:dyDescent="0.25">
      <c r="A69" s="180" t="s">
        <v>16</v>
      </c>
      <c r="B69" s="181"/>
      <c r="C69" s="182"/>
      <c r="D69" s="10">
        <f>SUM(D62:D68)</f>
        <v>560.57589999999993</v>
      </c>
      <c r="E69" s="22"/>
    </row>
    <row r="72" spans="1:5" x14ac:dyDescent="0.25">
      <c r="A72" s="178" t="s">
        <v>40</v>
      </c>
      <c r="B72" s="178"/>
      <c r="C72" s="178"/>
      <c r="D72" s="178"/>
      <c r="E72" s="178"/>
    </row>
    <row r="74" spans="1:5" x14ac:dyDescent="0.25">
      <c r="A74" s="31">
        <v>2</v>
      </c>
      <c r="B74" s="57" t="s">
        <v>41</v>
      </c>
      <c r="C74" s="58"/>
      <c r="D74" s="31" t="s">
        <v>3</v>
      </c>
      <c r="E74" s="31" t="s">
        <v>90</v>
      </c>
    </row>
    <row r="75" spans="1:5" x14ac:dyDescent="0.25">
      <c r="A75" s="5" t="s">
        <v>19</v>
      </c>
      <c r="B75" s="59" t="s">
        <v>20</v>
      </c>
      <c r="C75" s="60"/>
      <c r="D75" s="6">
        <f>D42</f>
        <v>414.83135909090907</v>
      </c>
      <c r="E75" s="22"/>
    </row>
    <row r="76" spans="1:5" x14ac:dyDescent="0.25">
      <c r="A76" s="5" t="s">
        <v>23</v>
      </c>
      <c r="B76" s="59" t="s">
        <v>24</v>
      </c>
      <c r="C76" s="60"/>
      <c r="D76" s="6">
        <f>D56</f>
        <v>1014.2034113545454</v>
      </c>
      <c r="E76" s="22"/>
    </row>
    <row r="77" spans="1:5" x14ac:dyDescent="0.25">
      <c r="A77" s="5" t="s">
        <v>37</v>
      </c>
      <c r="B77" s="59" t="s">
        <v>38</v>
      </c>
      <c r="C77" s="60"/>
      <c r="D77" s="6">
        <f>D69</f>
        <v>560.57589999999993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1989.6106704454546</v>
      </c>
      <c r="E78" s="22"/>
    </row>
    <row r="79" spans="1:5" x14ac:dyDescent="0.25">
      <c r="A79" s="3"/>
    </row>
    <row r="81" spans="1:5" x14ac:dyDescent="0.25">
      <c r="A81" s="178" t="s">
        <v>42</v>
      </c>
      <c r="B81" s="178"/>
      <c r="C81" s="178"/>
      <c r="D81" s="178"/>
      <c r="E81" s="178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10.617707405303031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0.8494165924242425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101.9299910909091</v>
      </c>
      <c r="E86" s="7" t="s">
        <v>139</v>
      </c>
    </row>
    <row r="87" spans="1:5" ht="25.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49.549301224747481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19.7206218874495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($D$31+$D$42)*C89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182.66703820083336</v>
      </c>
      <c r="E90" s="42"/>
    </row>
    <row r="93" spans="1:5" x14ac:dyDescent="0.25">
      <c r="A93" s="178" t="s">
        <v>48</v>
      </c>
      <c r="B93" s="178"/>
      <c r="C93" s="178"/>
      <c r="D93" s="178"/>
      <c r="E93" s="178"/>
    </row>
    <row r="95" spans="1:5" x14ac:dyDescent="0.25">
      <c r="A95" s="178" t="s">
        <v>49</v>
      </c>
      <c r="B95" s="178"/>
      <c r="C95" s="178"/>
      <c r="D95" s="178"/>
      <c r="E95" s="178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17.877011113249914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0.84678690494286057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1.5040534367731513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3.9507689837014106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9.5761762188970305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33.75479665756437</v>
      </c>
      <c r="E104" s="22"/>
    </row>
    <row r="107" spans="1:5" x14ac:dyDescent="0.25">
      <c r="A107" s="178" t="s">
        <v>56</v>
      </c>
      <c r="B107" s="178"/>
      <c r="C107" s="178"/>
      <c r="D107" s="178"/>
      <c r="E107" s="178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(D31-$D$28)/220*0.5*1.5*15</f>
        <v>99.894454958677684</v>
      </c>
      <c r="E110" s="22" t="s">
        <v>230</v>
      </c>
    </row>
    <row r="111" spans="1:5" x14ac:dyDescent="0.25">
      <c r="A111" s="180" t="s">
        <v>16</v>
      </c>
      <c r="B111" s="181"/>
      <c r="C111" s="182"/>
      <c r="D111" s="6">
        <f>D110</f>
        <v>99.894454958677684</v>
      </c>
      <c r="E111" s="22"/>
    </row>
    <row r="114" spans="1:5" x14ac:dyDescent="0.25">
      <c r="A114" s="178" t="s">
        <v>59</v>
      </c>
      <c r="B114" s="178"/>
      <c r="C114" s="178"/>
      <c r="D114" s="178"/>
      <c r="E114" s="178"/>
    </row>
    <row r="115" spans="1:5" x14ac:dyDescent="0.25">
      <c r="A115" s="2"/>
    </row>
    <row r="116" spans="1:5" x14ac:dyDescent="0.25">
      <c r="A116" s="31">
        <v>4</v>
      </c>
      <c r="B116" s="57" t="s">
        <v>60</v>
      </c>
      <c r="C116" s="58"/>
      <c r="D116" s="31" t="s">
        <v>3</v>
      </c>
      <c r="E116" s="31" t="s">
        <v>90</v>
      </c>
    </row>
    <row r="117" spans="1:5" x14ac:dyDescent="0.25">
      <c r="A117" s="5" t="s">
        <v>50</v>
      </c>
      <c r="B117" s="59" t="s">
        <v>51</v>
      </c>
      <c r="C117" s="60"/>
      <c r="D117" s="6">
        <f>D104</f>
        <v>33.75479665756437</v>
      </c>
      <c r="E117" s="22"/>
    </row>
    <row r="118" spans="1:5" x14ac:dyDescent="0.25">
      <c r="A118" s="5" t="s">
        <v>57</v>
      </c>
      <c r="B118" s="59" t="s">
        <v>58</v>
      </c>
      <c r="C118" s="60"/>
      <c r="D118" s="6">
        <f>D111</f>
        <v>99.894454958677684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133.64925161624205</v>
      </c>
      <c r="E119" s="22"/>
    </row>
    <row r="122" spans="1:5" x14ac:dyDescent="0.25">
      <c r="A122" s="178" t="s">
        <v>61</v>
      </c>
      <c r="B122" s="178"/>
      <c r="C122" s="178"/>
      <c r="D122" s="178"/>
      <c r="E122" s="178"/>
    </row>
    <row r="124" spans="1:5" x14ac:dyDescent="0.25">
      <c r="A124" s="31">
        <v>5</v>
      </c>
      <c r="B124" s="57" t="s">
        <v>62</v>
      </c>
      <c r="C124" s="58"/>
      <c r="D124" s="31" t="s">
        <v>3</v>
      </c>
      <c r="E124" s="31" t="s">
        <v>126</v>
      </c>
    </row>
    <row r="125" spans="1:5" x14ac:dyDescent="0.25">
      <c r="A125" s="5" t="s">
        <v>4</v>
      </c>
      <c r="B125" s="59" t="s">
        <v>63</v>
      </c>
      <c r="C125" s="60"/>
      <c r="D125" s="6">
        <f>SUM(Uniformes!F:F)</f>
        <v>287.56833333333333</v>
      </c>
      <c r="E125" s="42"/>
    </row>
    <row r="126" spans="1:5" x14ac:dyDescent="0.25">
      <c r="A126" s="5" t="s">
        <v>6</v>
      </c>
      <c r="B126" s="59" t="s">
        <v>64</v>
      </c>
      <c r="C126" s="60"/>
      <c r="D126" s="6">
        <f>SUM(Materiais!F:F)</f>
        <v>5.27</v>
      </c>
      <c r="E126" s="42"/>
    </row>
    <row r="127" spans="1:5" x14ac:dyDescent="0.25">
      <c r="A127" s="5" t="s">
        <v>8</v>
      </c>
      <c r="B127" s="59" t="s">
        <v>65</v>
      </c>
      <c r="C127" s="60"/>
      <c r="D127" s="6">
        <f>IFERROR(SUM(Equipamentos!I:I)/SUM(Resumo!E5:E8),0)</f>
        <v>22.361166666666662</v>
      </c>
      <c r="E127" s="42"/>
    </row>
    <row r="128" spans="1:5" x14ac:dyDescent="0.25">
      <c r="A128" s="5" t="s">
        <v>10</v>
      </c>
      <c r="B128" s="170" t="s">
        <v>272</v>
      </c>
      <c r="C128" s="171"/>
      <c r="D128" s="6">
        <f>SUMIFS('EPI''s'!F:F,'EPI''s'!G:G,"Vigilante Diurno")</f>
        <v>102.22666666666667</v>
      </c>
      <c r="E128" s="22"/>
    </row>
    <row r="129" spans="1:5" x14ac:dyDescent="0.25">
      <c r="A129" s="180" t="s">
        <v>35</v>
      </c>
      <c r="B129" s="181"/>
      <c r="C129" s="182"/>
      <c r="D129" s="10">
        <f>SUM(D125:D128)</f>
        <v>417.42616666666663</v>
      </c>
      <c r="E129" s="22"/>
    </row>
    <row r="132" spans="1:5" x14ac:dyDescent="0.25">
      <c r="A132" s="178" t="s">
        <v>66</v>
      </c>
      <c r="B132" s="178"/>
      <c r="C132" s="178"/>
      <c r="D132" s="178"/>
      <c r="E132" s="178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242.83857725555072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509.96101223665647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932.20278330141014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107.93926964542644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497.17481776075203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327.08869589523164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1685.0023727936173</v>
      </c>
      <c r="E144" s="22"/>
    </row>
    <row r="147" spans="1:5" x14ac:dyDescent="0.25">
      <c r="A147" s="178" t="s">
        <v>73</v>
      </c>
      <c r="B147" s="178"/>
      <c r="C147" s="178"/>
      <c r="D147" s="178"/>
      <c r="E147" s="178"/>
    </row>
    <row r="149" spans="1:5" x14ac:dyDescent="0.25">
      <c r="A149" s="31"/>
      <c r="B149" s="57" t="s">
        <v>74</v>
      </c>
      <c r="C149" s="58"/>
      <c r="D149" s="31" t="s">
        <v>3</v>
      </c>
      <c r="E149" s="31" t="s">
        <v>90</v>
      </c>
    </row>
    <row r="150" spans="1:5" x14ac:dyDescent="0.25">
      <c r="A150" s="5" t="s">
        <v>4</v>
      </c>
      <c r="B150" s="59" t="s">
        <v>1</v>
      </c>
      <c r="C150" s="60"/>
      <c r="D150" s="6">
        <f>D31</f>
        <v>2133.4184181818182</v>
      </c>
      <c r="E150" s="22"/>
    </row>
    <row r="151" spans="1:5" x14ac:dyDescent="0.25">
      <c r="A151" s="5" t="s">
        <v>6</v>
      </c>
      <c r="B151" s="59" t="s">
        <v>17</v>
      </c>
      <c r="C151" s="60"/>
      <c r="D151" s="6">
        <f>D78</f>
        <v>1989.6106704454546</v>
      </c>
      <c r="E151" s="22"/>
    </row>
    <row r="152" spans="1:5" x14ac:dyDescent="0.25">
      <c r="A152" s="5" t="s">
        <v>8</v>
      </c>
      <c r="B152" s="59" t="s">
        <v>42</v>
      </c>
      <c r="C152" s="60"/>
      <c r="D152" s="6">
        <f>D90</f>
        <v>182.66703820083336</v>
      </c>
      <c r="E152" s="22"/>
    </row>
    <row r="153" spans="1:5" x14ac:dyDescent="0.25">
      <c r="A153" s="5" t="s">
        <v>10</v>
      </c>
      <c r="B153" s="59" t="s">
        <v>48</v>
      </c>
      <c r="C153" s="38"/>
      <c r="D153" s="6">
        <f>D119</f>
        <v>133.64925161624205</v>
      </c>
      <c r="E153" s="22"/>
    </row>
    <row r="154" spans="1:5" x14ac:dyDescent="0.25">
      <c r="A154" s="5" t="s">
        <v>12</v>
      </c>
      <c r="B154" s="59" t="s">
        <v>61</v>
      </c>
      <c r="C154" s="38"/>
      <c r="D154" s="6">
        <f>D129</f>
        <v>417.42616666666663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4856.7715451110143</v>
      </c>
      <c r="E155" s="22"/>
    </row>
    <row r="156" spans="1:5" x14ac:dyDescent="0.25">
      <c r="A156" s="23" t="s">
        <v>30</v>
      </c>
      <c r="B156" s="59" t="s">
        <v>76</v>
      </c>
      <c r="C156" s="38"/>
      <c r="D156" s="6">
        <f>D144</f>
        <v>1685.0023727936173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6541.7739179046312</v>
      </c>
      <c r="E157" s="22"/>
    </row>
    <row r="158" spans="1:5" ht="15.75" customHeight="1" x14ac:dyDescent="0.25">
      <c r="A158" s="180" t="s">
        <v>83</v>
      </c>
      <c r="B158" s="181"/>
      <c r="C158" s="182"/>
      <c r="D158" s="10">
        <f>D157*$E$12</f>
        <v>13083.547835809262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D158*12</f>
        <v>157002.57402971113</v>
      </c>
      <c r="E159" s="22"/>
    </row>
  </sheetData>
  <mergeCells count="54"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  <mergeCell ref="A81:E81"/>
    <mergeCell ref="A93:E93"/>
    <mergeCell ref="B109:C109"/>
    <mergeCell ref="A95:E95"/>
    <mergeCell ref="A104:C104"/>
    <mergeCell ref="A107:E107"/>
    <mergeCell ref="B62:C62"/>
    <mergeCell ref="B63:C63"/>
    <mergeCell ref="B64:C64"/>
    <mergeCell ref="A78:C78"/>
    <mergeCell ref="B66:C66"/>
    <mergeCell ref="B67:C67"/>
    <mergeCell ref="B68:C68"/>
    <mergeCell ref="A72:E72"/>
    <mergeCell ref="A69:C69"/>
    <mergeCell ref="B65:C65"/>
    <mergeCell ref="A42:B42"/>
    <mergeCell ref="A45:E45"/>
    <mergeCell ref="A56:B56"/>
    <mergeCell ref="A59:E59"/>
    <mergeCell ref="B61:C61"/>
    <mergeCell ref="C18:E18"/>
    <mergeCell ref="C19:E19"/>
    <mergeCell ref="D12:D13"/>
    <mergeCell ref="E12:E13"/>
    <mergeCell ref="A36:E36"/>
    <mergeCell ref="A31:B31"/>
    <mergeCell ref="A34:E34"/>
    <mergeCell ref="A22:E22"/>
    <mergeCell ref="C16:E16"/>
    <mergeCell ref="C17:E17"/>
    <mergeCell ref="A9:D9"/>
    <mergeCell ref="A1:E1"/>
    <mergeCell ref="C5:D5"/>
    <mergeCell ref="C6:D6"/>
    <mergeCell ref="C7:D7"/>
    <mergeCell ref="C8:D8"/>
    <mergeCell ref="A10:E10"/>
    <mergeCell ref="A11:B11"/>
    <mergeCell ref="A12:B13"/>
    <mergeCell ref="C12:C13"/>
    <mergeCell ref="C15:E15"/>
  </mergeCells>
  <dataValidations count="2">
    <dataValidation type="list" allowBlank="1" showInputMessage="1" showErrorMessage="1" sqref="G1">
      <formula1>$O$1:$O$2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E12" sqref="E12:E13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0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8" t="s">
        <v>0</v>
      </c>
      <c r="B1" s="178"/>
      <c r="C1" s="178"/>
      <c r="D1" s="178"/>
      <c r="E1" s="178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151" t="s">
        <v>106</v>
      </c>
      <c r="C5" s="187"/>
      <c r="D5" s="188"/>
      <c r="H5" s="15"/>
    </row>
    <row r="6" spans="1:9" x14ac:dyDescent="0.25">
      <c r="A6" s="5" t="s">
        <v>6</v>
      </c>
      <c r="B6" s="151" t="s">
        <v>107</v>
      </c>
      <c r="C6" s="188"/>
      <c r="D6" s="188"/>
      <c r="H6" s="15"/>
    </row>
    <row r="7" spans="1:9" ht="25.5" x14ac:dyDescent="0.25">
      <c r="A7" s="5" t="s">
        <v>8</v>
      </c>
      <c r="B7" s="151" t="s">
        <v>108</v>
      </c>
      <c r="C7" s="189" t="s">
        <v>228</v>
      </c>
      <c r="D7" s="189"/>
      <c r="H7" s="15"/>
    </row>
    <row r="8" spans="1:9" x14ac:dyDescent="0.25">
      <c r="A8" s="5" t="s">
        <v>10</v>
      </c>
      <c r="B8" s="151" t="s">
        <v>109</v>
      </c>
      <c r="C8" s="189">
        <v>12</v>
      </c>
      <c r="D8" s="189"/>
      <c r="H8" s="15"/>
    </row>
    <row r="9" spans="1:9" x14ac:dyDescent="0.25">
      <c r="A9" s="190"/>
      <c r="B9" s="190"/>
      <c r="C9" s="190"/>
      <c r="D9" s="190"/>
      <c r="E9" s="153"/>
    </row>
    <row r="10" spans="1:9" x14ac:dyDescent="0.25">
      <c r="A10" s="178" t="s">
        <v>78</v>
      </c>
      <c r="B10" s="178"/>
      <c r="C10" s="178"/>
      <c r="D10" s="178"/>
      <c r="E10" s="178"/>
    </row>
    <row r="11" spans="1:9" ht="25.5" customHeight="1" x14ac:dyDescent="0.25">
      <c r="A11" s="191" t="s">
        <v>79</v>
      </c>
      <c r="B11" s="191"/>
      <c r="C11" s="73" t="s">
        <v>80</v>
      </c>
      <c r="D11" s="73" t="s">
        <v>81</v>
      </c>
      <c r="E11" s="73" t="s">
        <v>179</v>
      </c>
    </row>
    <row r="12" spans="1:9" ht="15.75" customHeight="1" x14ac:dyDescent="0.25">
      <c r="A12" s="192" t="s">
        <v>146</v>
      </c>
      <c r="B12" s="192"/>
      <c r="C12" s="185" t="s">
        <v>82</v>
      </c>
      <c r="D12" s="185"/>
      <c r="E12" s="194"/>
    </row>
    <row r="13" spans="1:9" x14ac:dyDescent="0.25">
      <c r="A13" s="193"/>
      <c r="B13" s="193"/>
      <c r="C13" s="186"/>
      <c r="D13" s="186"/>
      <c r="E13" s="195"/>
    </row>
    <row r="14" spans="1:9" x14ac:dyDescent="0.25">
      <c r="A14" s="4"/>
      <c r="B14" s="4"/>
      <c r="C14" s="4"/>
      <c r="D14" s="4"/>
      <c r="E14" s="4"/>
    </row>
    <row r="15" spans="1:9" x14ac:dyDescent="0.25">
      <c r="A15" s="154">
        <v>1</v>
      </c>
      <c r="B15" s="35" t="s">
        <v>110</v>
      </c>
      <c r="C15" s="197" t="s">
        <v>270</v>
      </c>
      <c r="D15" s="197"/>
      <c r="E15" s="197"/>
      <c r="F15" s="34"/>
    </row>
    <row r="16" spans="1:9" x14ac:dyDescent="0.25">
      <c r="A16" s="154">
        <v>2</v>
      </c>
      <c r="B16" s="35" t="s">
        <v>111</v>
      </c>
      <c r="C16" s="197"/>
      <c r="D16" s="197"/>
      <c r="E16" s="197"/>
      <c r="F16" s="34"/>
    </row>
    <row r="17" spans="1:6" x14ac:dyDescent="0.25">
      <c r="A17" s="154">
        <v>3</v>
      </c>
      <c r="B17" s="35" t="s">
        <v>112</v>
      </c>
      <c r="C17" s="198">
        <f>$D$25</f>
        <v>1449.96</v>
      </c>
      <c r="D17" s="198"/>
      <c r="E17" s="198"/>
      <c r="F17" s="34"/>
    </row>
    <row r="18" spans="1:6" x14ac:dyDescent="0.25">
      <c r="A18" s="154">
        <v>4</v>
      </c>
      <c r="B18" s="35" t="s">
        <v>113</v>
      </c>
      <c r="C18" s="197" t="s">
        <v>148</v>
      </c>
      <c r="D18" s="197"/>
      <c r="E18" s="197"/>
      <c r="F18" s="34"/>
    </row>
    <row r="19" spans="1:6" x14ac:dyDescent="0.25">
      <c r="A19" s="154">
        <v>5</v>
      </c>
      <c r="B19" s="35" t="s">
        <v>114</v>
      </c>
      <c r="C19" s="196">
        <v>44562</v>
      </c>
      <c r="D19" s="197"/>
      <c r="E19" s="197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8" t="s">
        <v>1</v>
      </c>
      <c r="B22" s="178"/>
      <c r="C22" s="178"/>
      <c r="D22" s="178"/>
      <c r="E22" s="178"/>
    </row>
    <row r="24" spans="1:6" ht="25.5" customHeight="1" x14ac:dyDescent="0.25">
      <c r="A24" s="31">
        <v>1</v>
      </c>
      <c r="B24" s="149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151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151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151" t="s">
        <v>9</v>
      </c>
      <c r="C27" s="13"/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151" t="s">
        <v>11</v>
      </c>
      <c r="C28" s="13">
        <v>0.2</v>
      </c>
      <c r="D28" s="6">
        <f>(SUM(D25:D26)/220)*$C$28*7*15</f>
        <v>179.92685454545457</v>
      </c>
      <c r="E28" s="22" t="s">
        <v>231</v>
      </c>
    </row>
    <row r="29" spans="1:6" x14ac:dyDescent="0.25">
      <c r="A29" s="5" t="s">
        <v>12</v>
      </c>
      <c r="B29" s="151" t="s">
        <v>13</v>
      </c>
      <c r="C29" s="146">
        <f>60/52.5</f>
        <v>1.1428571428571428</v>
      </c>
      <c r="D29" s="6">
        <f>(SUM(D25:D26)/220)*7*$C$29</f>
        <v>68.543563636363643</v>
      </c>
      <c r="E29" s="22" t="s">
        <v>231</v>
      </c>
    </row>
    <row r="30" spans="1:6" x14ac:dyDescent="0.25">
      <c r="A30" s="5" t="s">
        <v>14</v>
      </c>
      <c r="B30" s="151" t="s">
        <v>149</v>
      </c>
      <c r="C30" s="13"/>
      <c r="D30" s="6"/>
      <c r="E30" s="54"/>
    </row>
    <row r="31" spans="1:6" x14ac:dyDescent="0.25">
      <c r="A31" s="180" t="s">
        <v>16</v>
      </c>
      <c r="B31" s="182"/>
      <c r="C31" s="10"/>
      <c r="D31" s="10">
        <f>SUM(D25:D30)</f>
        <v>2133.4184181818182</v>
      </c>
      <c r="E31" s="10"/>
    </row>
    <row r="34" spans="1:5" x14ac:dyDescent="0.25">
      <c r="A34" s="178" t="s">
        <v>17</v>
      </c>
      <c r="B34" s="178"/>
      <c r="C34" s="178"/>
      <c r="D34" s="178"/>
      <c r="E34" s="178"/>
    </row>
    <row r="35" spans="1:5" x14ac:dyDescent="0.25">
      <c r="A35" s="2"/>
    </row>
    <row r="36" spans="1:5" x14ac:dyDescent="0.25">
      <c r="A36" s="178" t="s">
        <v>18</v>
      </c>
      <c r="B36" s="178"/>
      <c r="C36" s="178"/>
      <c r="D36" s="178"/>
      <c r="E36" s="178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177.78486818181818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177.78486818181818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59.261622727272723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414.83135909090907</v>
      </c>
      <c r="E42" s="22"/>
    </row>
    <row r="45" spans="1:5" x14ac:dyDescent="0.25">
      <c r="A45" s="178" t="s">
        <v>22</v>
      </c>
      <c r="B45" s="178"/>
      <c r="C45" s="178"/>
      <c r="D45" s="178"/>
      <c r="E45" s="178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38.25" x14ac:dyDescent="0.25">
      <c r="A48" s="5" t="s">
        <v>4</v>
      </c>
      <c r="B48" s="7" t="s">
        <v>26</v>
      </c>
      <c r="C48" s="8">
        <v>0.2</v>
      </c>
      <c r="D48" s="6">
        <f>($D$31+$D$42)*C48</f>
        <v>509.64995545454553</v>
      </c>
      <c r="E48" s="7" t="s">
        <v>128</v>
      </c>
    </row>
    <row r="49" spans="1:5" ht="38.2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63.706244431818192</v>
      </c>
      <c r="E49" s="7" t="s">
        <v>129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152.89498663636365</v>
      </c>
      <c r="E50" s="7" t="s">
        <v>130</v>
      </c>
    </row>
    <row r="51" spans="1:5" ht="25.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38.223746659090914</v>
      </c>
      <c r="E51" s="7" t="s">
        <v>132</v>
      </c>
    </row>
    <row r="52" spans="1:5" ht="63.7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25.482497772727275</v>
      </c>
      <c r="E52" s="7" t="s">
        <v>133</v>
      </c>
    </row>
    <row r="53" spans="1:5" ht="25.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15.289498663636365</v>
      </c>
      <c r="E53" s="7" t="s">
        <v>134</v>
      </c>
    </row>
    <row r="54" spans="1:5" ht="38.2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5.0964995545454546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203.8599821818182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1014.2034113545454</v>
      </c>
      <c r="E56" s="22"/>
    </row>
    <row r="59" spans="1:5" x14ac:dyDescent="0.25">
      <c r="A59" s="178" t="s">
        <v>36</v>
      </c>
      <c r="B59" s="178"/>
      <c r="C59" s="178"/>
      <c r="D59" s="178"/>
      <c r="E59" s="178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Noturno - Ronda'!B62,VLOOKUP(B62,Beneficios!$A$1:$F$8,6,FALSE))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12</v>
      </c>
      <c r="B67" s="183" t="s">
        <v>242</v>
      </c>
      <c r="C67" s="184"/>
      <c r="D67" s="6">
        <v>6</v>
      </c>
      <c r="E67" s="22" t="s">
        <v>243</v>
      </c>
    </row>
    <row r="68" spans="1:5" x14ac:dyDescent="0.25">
      <c r="A68" s="5" t="s">
        <v>30</v>
      </c>
      <c r="B68" s="183" t="s">
        <v>15</v>
      </c>
      <c r="C68" s="184"/>
      <c r="D68" s="6">
        <v>0</v>
      </c>
      <c r="E68" s="22" t="s">
        <v>137</v>
      </c>
    </row>
    <row r="69" spans="1:5" x14ac:dyDescent="0.25">
      <c r="A69" s="180" t="s">
        <v>16</v>
      </c>
      <c r="B69" s="181"/>
      <c r="C69" s="182"/>
      <c r="D69" s="10">
        <f>SUM(D62:D68)</f>
        <v>560.57589999999993</v>
      </c>
      <c r="E69" s="22"/>
    </row>
    <row r="72" spans="1:5" x14ac:dyDescent="0.25">
      <c r="A72" s="178" t="s">
        <v>40</v>
      </c>
      <c r="B72" s="178"/>
      <c r="C72" s="178"/>
      <c r="D72" s="178"/>
      <c r="E72" s="178"/>
    </row>
    <row r="74" spans="1:5" x14ac:dyDescent="0.25">
      <c r="A74" s="31">
        <v>2</v>
      </c>
      <c r="B74" s="149" t="s">
        <v>41</v>
      </c>
      <c r="C74" s="150"/>
      <c r="D74" s="31" t="s">
        <v>3</v>
      </c>
      <c r="E74" s="31" t="s">
        <v>90</v>
      </c>
    </row>
    <row r="75" spans="1:5" x14ac:dyDescent="0.25">
      <c r="A75" s="5" t="s">
        <v>19</v>
      </c>
      <c r="B75" s="151" t="s">
        <v>20</v>
      </c>
      <c r="C75" s="152"/>
      <c r="D75" s="6">
        <f>D42</f>
        <v>414.83135909090907</v>
      </c>
      <c r="E75" s="22"/>
    </row>
    <row r="76" spans="1:5" x14ac:dyDescent="0.25">
      <c r="A76" s="5" t="s">
        <v>23</v>
      </c>
      <c r="B76" s="151" t="s">
        <v>24</v>
      </c>
      <c r="C76" s="152"/>
      <c r="D76" s="6">
        <f>D56</f>
        <v>1014.2034113545454</v>
      </c>
      <c r="E76" s="22"/>
    </row>
    <row r="77" spans="1:5" x14ac:dyDescent="0.25">
      <c r="A77" s="5" t="s">
        <v>37</v>
      </c>
      <c r="B77" s="151" t="s">
        <v>38</v>
      </c>
      <c r="C77" s="152"/>
      <c r="D77" s="6">
        <f>D69</f>
        <v>560.57589999999993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1989.6106704454546</v>
      </c>
      <c r="E78" s="22"/>
    </row>
    <row r="79" spans="1:5" x14ac:dyDescent="0.25">
      <c r="A79" s="3"/>
    </row>
    <row r="81" spans="1:5" x14ac:dyDescent="0.25">
      <c r="A81" s="178" t="s">
        <v>42</v>
      </c>
      <c r="B81" s="178"/>
      <c r="C81" s="178"/>
      <c r="D81" s="178"/>
      <c r="E81" s="178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10.617707405303031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0.8494165924242425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101.9299910909091</v>
      </c>
      <c r="E86" s="7" t="s">
        <v>139</v>
      </c>
    </row>
    <row r="87" spans="1:5" ht="25.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49.549301224747481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19.7206218874495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($D$31+$D$42)*C89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182.66703820083336</v>
      </c>
      <c r="E90" s="42"/>
    </row>
    <row r="93" spans="1:5" x14ac:dyDescent="0.25">
      <c r="A93" s="178" t="s">
        <v>48</v>
      </c>
      <c r="B93" s="178"/>
      <c r="C93" s="178"/>
      <c r="D93" s="178"/>
      <c r="E93" s="178"/>
    </row>
    <row r="95" spans="1:5" x14ac:dyDescent="0.25">
      <c r="A95" s="178" t="s">
        <v>49</v>
      </c>
      <c r="B95" s="178"/>
      <c r="C95" s="178"/>
      <c r="D95" s="178"/>
      <c r="E95" s="178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17.877011113249914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0.84678690494286057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1.5040534367731513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3.9507689837014106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9.5761762188970305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33.75479665756437</v>
      </c>
      <c r="E104" s="22"/>
    </row>
    <row r="107" spans="1:5" x14ac:dyDescent="0.25">
      <c r="A107" s="178" t="s">
        <v>56</v>
      </c>
      <c r="B107" s="178"/>
      <c r="C107" s="178"/>
      <c r="D107" s="178"/>
      <c r="E107" s="178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(D31-$D$28)/220*0.5*1.5*15</f>
        <v>99.894454958677684</v>
      </c>
      <c r="E110" s="22" t="s">
        <v>230</v>
      </c>
    </row>
    <row r="111" spans="1:5" x14ac:dyDescent="0.25">
      <c r="A111" s="180" t="s">
        <v>16</v>
      </c>
      <c r="B111" s="181"/>
      <c r="C111" s="182"/>
      <c r="D111" s="6">
        <f>D110</f>
        <v>99.894454958677684</v>
      </c>
      <c r="E111" s="22"/>
    </row>
    <row r="114" spans="1:5" x14ac:dyDescent="0.25">
      <c r="A114" s="178" t="s">
        <v>59</v>
      </c>
      <c r="B114" s="178"/>
      <c r="C114" s="178"/>
      <c r="D114" s="178"/>
      <c r="E114" s="178"/>
    </row>
    <row r="115" spans="1:5" x14ac:dyDescent="0.25">
      <c r="A115" s="2"/>
    </row>
    <row r="116" spans="1:5" x14ac:dyDescent="0.25">
      <c r="A116" s="31">
        <v>4</v>
      </c>
      <c r="B116" s="149" t="s">
        <v>60</v>
      </c>
      <c r="C116" s="150"/>
      <c r="D116" s="31" t="s">
        <v>3</v>
      </c>
      <c r="E116" s="31" t="s">
        <v>90</v>
      </c>
    </row>
    <row r="117" spans="1:5" x14ac:dyDescent="0.25">
      <c r="A117" s="5" t="s">
        <v>50</v>
      </c>
      <c r="B117" s="151" t="s">
        <v>51</v>
      </c>
      <c r="C117" s="152"/>
      <c r="D117" s="6">
        <f>D104</f>
        <v>33.75479665756437</v>
      </c>
      <c r="E117" s="22"/>
    </row>
    <row r="118" spans="1:5" x14ac:dyDescent="0.25">
      <c r="A118" s="5" t="s">
        <v>57</v>
      </c>
      <c r="B118" s="151" t="s">
        <v>58</v>
      </c>
      <c r="C118" s="152"/>
      <c r="D118" s="6">
        <f>D111</f>
        <v>99.894454958677684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133.64925161624205</v>
      </c>
      <c r="E119" s="22"/>
    </row>
    <row r="122" spans="1:5" x14ac:dyDescent="0.25">
      <c r="A122" s="178" t="s">
        <v>61</v>
      </c>
      <c r="B122" s="178"/>
      <c r="C122" s="178"/>
      <c r="D122" s="178"/>
      <c r="E122" s="178"/>
    </row>
    <row r="124" spans="1:5" x14ac:dyDescent="0.25">
      <c r="A124" s="31">
        <v>5</v>
      </c>
      <c r="B124" s="149" t="s">
        <v>62</v>
      </c>
      <c r="C124" s="150"/>
      <c r="D124" s="31" t="s">
        <v>3</v>
      </c>
      <c r="E124" s="31" t="s">
        <v>126</v>
      </c>
    </row>
    <row r="125" spans="1:5" x14ac:dyDescent="0.25">
      <c r="A125" s="5" t="s">
        <v>4</v>
      </c>
      <c r="B125" s="151" t="s">
        <v>63</v>
      </c>
      <c r="C125" s="152"/>
      <c r="D125" s="6">
        <f>SUM(Uniformes!F:F)</f>
        <v>287.56833333333333</v>
      </c>
      <c r="E125" s="42"/>
    </row>
    <row r="126" spans="1:5" x14ac:dyDescent="0.25">
      <c r="A126" s="5" t="s">
        <v>6</v>
      </c>
      <c r="B126" s="151" t="s">
        <v>64</v>
      </c>
      <c r="C126" s="152"/>
      <c r="D126" s="6">
        <f>SUM(Materiais!F:F)</f>
        <v>5.27</v>
      </c>
      <c r="E126" s="42"/>
    </row>
    <row r="127" spans="1:5" x14ac:dyDescent="0.25">
      <c r="A127" s="5" t="s">
        <v>8</v>
      </c>
      <c r="B127" s="151" t="s">
        <v>65</v>
      </c>
      <c r="C127" s="152"/>
      <c r="D127" s="6">
        <f>IFERROR(SUM(Equipamentos!I:I)/SUM(Resumo!E5:E8),0)/4</f>
        <v>5.5902916666666655</v>
      </c>
      <c r="E127" s="42"/>
    </row>
    <row r="128" spans="1:5" x14ac:dyDescent="0.25">
      <c r="A128" s="5" t="s">
        <v>10</v>
      </c>
      <c r="B128" s="151" t="s">
        <v>15</v>
      </c>
      <c r="C128" s="152"/>
      <c r="D128" s="6"/>
      <c r="E128" s="22"/>
    </row>
    <row r="129" spans="1:5" x14ac:dyDescent="0.25">
      <c r="A129" s="180" t="s">
        <v>35</v>
      </c>
      <c r="B129" s="181"/>
      <c r="C129" s="182"/>
      <c r="D129" s="10">
        <f>SUM(D125:D128)</f>
        <v>298.42862499999995</v>
      </c>
      <c r="E129" s="22"/>
    </row>
    <row r="132" spans="1:5" x14ac:dyDescent="0.25">
      <c r="A132" s="178" t="s">
        <v>66</v>
      </c>
      <c r="B132" s="178"/>
      <c r="C132" s="178"/>
      <c r="D132" s="178"/>
      <c r="E132" s="178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236.8887001722174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497.4662703616566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909.36254086518579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105.29460999491624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484.99335512809904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319.07457574217045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1643.7175113990597</v>
      </c>
      <c r="E144" s="22"/>
    </row>
    <row r="147" spans="1:5" x14ac:dyDescent="0.25">
      <c r="A147" s="178" t="s">
        <v>73</v>
      </c>
      <c r="B147" s="178"/>
      <c r="C147" s="178"/>
      <c r="D147" s="178"/>
      <c r="E147" s="178"/>
    </row>
    <row r="149" spans="1:5" x14ac:dyDescent="0.25">
      <c r="A149" s="31"/>
      <c r="B149" s="149" t="s">
        <v>74</v>
      </c>
      <c r="C149" s="150"/>
      <c r="D149" s="31" t="s">
        <v>3</v>
      </c>
      <c r="E149" s="31" t="s">
        <v>90</v>
      </c>
    </row>
    <row r="150" spans="1:5" x14ac:dyDescent="0.25">
      <c r="A150" s="5" t="s">
        <v>4</v>
      </c>
      <c r="B150" s="151" t="s">
        <v>1</v>
      </c>
      <c r="C150" s="152"/>
      <c r="D150" s="6">
        <f>D31</f>
        <v>2133.4184181818182</v>
      </c>
      <c r="E150" s="22"/>
    </row>
    <row r="151" spans="1:5" x14ac:dyDescent="0.25">
      <c r="A151" s="5" t="s">
        <v>6</v>
      </c>
      <c r="B151" s="151" t="s">
        <v>17</v>
      </c>
      <c r="C151" s="152"/>
      <c r="D151" s="6">
        <f>D78</f>
        <v>1989.6106704454546</v>
      </c>
      <c r="E151" s="22"/>
    </row>
    <row r="152" spans="1:5" x14ac:dyDescent="0.25">
      <c r="A152" s="5" t="s">
        <v>8</v>
      </c>
      <c r="B152" s="151" t="s">
        <v>42</v>
      </c>
      <c r="C152" s="152"/>
      <c r="D152" s="6">
        <f>D90</f>
        <v>182.66703820083336</v>
      </c>
      <c r="E152" s="22"/>
    </row>
    <row r="153" spans="1:5" x14ac:dyDescent="0.25">
      <c r="A153" s="5" t="s">
        <v>10</v>
      </c>
      <c r="B153" s="151" t="s">
        <v>48</v>
      </c>
      <c r="C153" s="38"/>
      <c r="D153" s="6">
        <f>D119</f>
        <v>133.64925161624205</v>
      </c>
      <c r="E153" s="22"/>
    </row>
    <row r="154" spans="1:5" x14ac:dyDescent="0.25">
      <c r="A154" s="5" t="s">
        <v>12</v>
      </c>
      <c r="B154" s="151" t="s">
        <v>61</v>
      </c>
      <c r="C154" s="38"/>
      <c r="D154" s="6">
        <f>D129</f>
        <v>298.42862499999995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4737.7740034443477</v>
      </c>
      <c r="E155" s="22"/>
    </row>
    <row r="156" spans="1:5" x14ac:dyDescent="0.25">
      <c r="A156" s="23" t="s">
        <v>30</v>
      </c>
      <c r="B156" s="151" t="s">
        <v>76</v>
      </c>
      <c r="C156" s="38"/>
      <c r="D156" s="6">
        <f>D144</f>
        <v>1643.7175113990597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6381.4915148434075</v>
      </c>
      <c r="E157" s="22"/>
    </row>
    <row r="158" spans="1:5" ht="15.75" customHeight="1" x14ac:dyDescent="0.25">
      <c r="A158" s="180" t="s">
        <v>83</v>
      </c>
      <c r="B158" s="181"/>
      <c r="C158" s="182"/>
      <c r="D158" s="10">
        <f>D157*E12</f>
        <v>0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D158*12</f>
        <v>0</v>
      </c>
      <c r="E159" s="22"/>
    </row>
  </sheetData>
  <mergeCells count="54">
    <mergeCell ref="A9:D9"/>
    <mergeCell ref="A1:E1"/>
    <mergeCell ref="C5:D5"/>
    <mergeCell ref="C6:D6"/>
    <mergeCell ref="C7:D7"/>
    <mergeCell ref="C8:D8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</mergeCells>
  <dataValidations count="2">
    <dataValidation type="list" allowBlank="1" showInputMessage="1" showErrorMessage="1" sqref="G3">
      <formula1>$P$1:$P$3</formula1>
    </dataValidation>
    <dataValidation type="list" allowBlank="1" showInputMessage="1" showErrorMessage="1" sqref="G1">
      <formula1>$O$1:$O$2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E12" sqref="E12:E13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0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8" t="s">
        <v>0</v>
      </c>
      <c r="B1" s="178"/>
      <c r="C1" s="178"/>
      <c r="D1" s="178"/>
      <c r="E1" s="178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78" t="s">
        <v>106</v>
      </c>
      <c r="C5" s="187"/>
      <c r="D5" s="188"/>
      <c r="H5" s="15"/>
    </row>
    <row r="6" spans="1:9" x14ac:dyDescent="0.25">
      <c r="A6" s="5" t="s">
        <v>6</v>
      </c>
      <c r="B6" s="78" t="s">
        <v>107</v>
      </c>
      <c r="C6" s="188"/>
      <c r="D6" s="188"/>
      <c r="H6" s="15"/>
    </row>
    <row r="7" spans="1:9" ht="25.5" x14ac:dyDescent="0.25">
      <c r="A7" s="5" t="s">
        <v>8</v>
      </c>
      <c r="B7" s="78" t="s">
        <v>108</v>
      </c>
      <c r="C7" s="189" t="s">
        <v>228</v>
      </c>
      <c r="D7" s="189"/>
      <c r="H7" s="15"/>
    </row>
    <row r="8" spans="1:9" x14ac:dyDescent="0.25">
      <c r="A8" s="5" t="s">
        <v>10</v>
      </c>
      <c r="B8" s="78" t="s">
        <v>109</v>
      </c>
      <c r="C8" s="189">
        <v>12</v>
      </c>
      <c r="D8" s="189"/>
      <c r="H8" s="15"/>
    </row>
    <row r="9" spans="1:9" x14ac:dyDescent="0.25">
      <c r="A9" s="190"/>
      <c r="B9" s="190"/>
      <c r="C9" s="190"/>
      <c r="D9" s="190"/>
      <c r="E9" s="81"/>
    </row>
    <row r="10" spans="1:9" x14ac:dyDescent="0.25">
      <c r="A10" s="178" t="s">
        <v>78</v>
      </c>
      <c r="B10" s="178"/>
      <c r="C10" s="178"/>
      <c r="D10" s="178"/>
      <c r="E10" s="178"/>
    </row>
    <row r="11" spans="1:9" ht="25.5" customHeight="1" x14ac:dyDescent="0.25">
      <c r="A11" s="191" t="s">
        <v>79</v>
      </c>
      <c r="B11" s="191"/>
      <c r="C11" s="73" t="s">
        <v>80</v>
      </c>
      <c r="D11" s="73" t="s">
        <v>81</v>
      </c>
      <c r="E11" s="73" t="s">
        <v>179</v>
      </c>
    </row>
    <row r="12" spans="1:9" ht="15.75" customHeight="1" x14ac:dyDescent="0.25">
      <c r="A12" s="192" t="s">
        <v>146</v>
      </c>
      <c r="B12" s="192"/>
      <c r="C12" s="185" t="s">
        <v>82</v>
      </c>
      <c r="D12" s="185"/>
      <c r="E12" s="194"/>
    </row>
    <row r="13" spans="1:9" x14ac:dyDescent="0.25">
      <c r="A13" s="193"/>
      <c r="B13" s="193"/>
      <c r="C13" s="186"/>
      <c r="D13" s="186"/>
      <c r="E13" s="195"/>
    </row>
    <row r="14" spans="1:9" x14ac:dyDescent="0.25">
      <c r="A14" s="4"/>
      <c r="B14" s="4"/>
      <c r="C14" s="4"/>
      <c r="D14" s="4"/>
      <c r="E14" s="4"/>
    </row>
    <row r="15" spans="1:9" x14ac:dyDescent="0.25">
      <c r="A15" s="80">
        <v>1</v>
      </c>
      <c r="B15" s="35" t="s">
        <v>110</v>
      </c>
      <c r="C15" s="197" t="s">
        <v>227</v>
      </c>
      <c r="D15" s="197"/>
      <c r="E15" s="197"/>
      <c r="F15" s="34"/>
    </row>
    <row r="16" spans="1:9" x14ac:dyDescent="0.25">
      <c r="A16" s="80">
        <v>2</v>
      </c>
      <c r="B16" s="35" t="s">
        <v>111</v>
      </c>
      <c r="C16" s="197"/>
      <c r="D16" s="197"/>
      <c r="E16" s="197"/>
      <c r="F16" s="34"/>
    </row>
    <row r="17" spans="1:6" x14ac:dyDescent="0.25">
      <c r="A17" s="80">
        <v>3</v>
      </c>
      <c r="B17" s="35" t="s">
        <v>112</v>
      </c>
      <c r="C17" s="198">
        <f>$D$25</f>
        <v>1449.96</v>
      </c>
      <c r="D17" s="198"/>
      <c r="E17" s="198"/>
      <c r="F17" s="34"/>
    </row>
    <row r="18" spans="1:6" x14ac:dyDescent="0.25">
      <c r="A18" s="80">
        <v>4</v>
      </c>
      <c r="B18" s="35" t="s">
        <v>113</v>
      </c>
      <c r="C18" s="197" t="s">
        <v>148</v>
      </c>
      <c r="D18" s="197"/>
      <c r="E18" s="197"/>
      <c r="F18" s="34"/>
    </row>
    <row r="19" spans="1:6" x14ac:dyDescent="0.25">
      <c r="A19" s="80">
        <v>5</v>
      </c>
      <c r="B19" s="35" t="s">
        <v>114</v>
      </c>
      <c r="C19" s="196">
        <v>44562</v>
      </c>
      <c r="D19" s="197"/>
      <c r="E19" s="197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8" t="s">
        <v>1</v>
      </c>
      <c r="B22" s="178"/>
      <c r="C22" s="178"/>
      <c r="D22" s="178"/>
      <c r="E22" s="178"/>
    </row>
    <row r="24" spans="1:6" ht="25.5" customHeight="1" x14ac:dyDescent="0.25">
      <c r="A24" s="31">
        <v>1</v>
      </c>
      <c r="B24" s="76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78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78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78" t="s">
        <v>9</v>
      </c>
      <c r="C27" s="13">
        <v>0</v>
      </c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78" t="s">
        <v>11</v>
      </c>
      <c r="C28" s="13"/>
      <c r="D28" s="6"/>
      <c r="E28" s="22" t="s">
        <v>137</v>
      </c>
    </row>
    <row r="29" spans="1:6" x14ac:dyDescent="0.25">
      <c r="A29" s="5" t="s">
        <v>12</v>
      </c>
      <c r="B29" s="78" t="s">
        <v>13</v>
      </c>
      <c r="C29" s="13"/>
      <c r="D29" s="6"/>
      <c r="E29" s="22" t="s">
        <v>137</v>
      </c>
    </row>
    <row r="30" spans="1:6" x14ac:dyDescent="0.25">
      <c r="A30" s="5" t="s">
        <v>14</v>
      </c>
      <c r="B30" s="78" t="s">
        <v>149</v>
      </c>
      <c r="C30" s="13"/>
      <c r="D30" s="6"/>
      <c r="E30" s="22" t="s">
        <v>137</v>
      </c>
    </row>
    <row r="31" spans="1:6" x14ac:dyDescent="0.25">
      <c r="A31" s="180" t="s">
        <v>16</v>
      </c>
      <c r="B31" s="182"/>
      <c r="C31" s="10"/>
      <c r="D31" s="10">
        <f>SUM(D25:D30)</f>
        <v>1884.9480000000001</v>
      </c>
      <c r="E31" s="10"/>
    </row>
    <row r="34" spans="1:5" x14ac:dyDescent="0.25">
      <c r="A34" s="178" t="s">
        <v>17</v>
      </c>
      <c r="B34" s="178"/>
      <c r="C34" s="178"/>
      <c r="D34" s="178"/>
      <c r="E34" s="178"/>
    </row>
    <row r="35" spans="1:5" x14ac:dyDescent="0.25">
      <c r="A35" s="2"/>
    </row>
    <row r="36" spans="1:5" x14ac:dyDescent="0.25">
      <c r="A36" s="178" t="s">
        <v>18</v>
      </c>
      <c r="B36" s="178"/>
      <c r="C36" s="178"/>
      <c r="D36" s="178"/>
      <c r="E36" s="178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157.07900000000001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157.07900000000001</v>
      </c>
      <c r="E40" s="22" t="s">
        <v>127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52.359666666666669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366.51766666666668</v>
      </c>
      <c r="E42" s="22"/>
    </row>
    <row r="45" spans="1:5" x14ac:dyDescent="0.25">
      <c r="A45" s="178" t="s">
        <v>22</v>
      </c>
      <c r="B45" s="178"/>
      <c r="C45" s="178"/>
      <c r="D45" s="178"/>
      <c r="E45" s="178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25.5" x14ac:dyDescent="0.25">
      <c r="A48" s="5" t="s">
        <v>4</v>
      </c>
      <c r="B48" s="7" t="s">
        <v>26</v>
      </c>
      <c r="C48" s="8">
        <v>0.2</v>
      </c>
      <c r="D48" s="6">
        <f>($D$31+$D$42)*C48</f>
        <v>450.2931333333334</v>
      </c>
      <c r="E48" s="7" t="s">
        <v>177</v>
      </c>
    </row>
    <row r="49" spans="1:5" ht="25.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56.286641666666675</v>
      </c>
      <c r="E49" s="7" t="s">
        <v>178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135.08794</v>
      </c>
      <c r="E50" s="7" t="s">
        <v>130</v>
      </c>
    </row>
    <row r="51" spans="1:5" ht="25.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33.771985000000001</v>
      </c>
      <c r="E51" s="7" t="s">
        <v>132</v>
      </c>
    </row>
    <row r="52" spans="1:5" ht="63.7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22.514656666666671</v>
      </c>
      <c r="E52" s="7" t="s">
        <v>133</v>
      </c>
    </row>
    <row r="53" spans="1:5" ht="25.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13.508794000000002</v>
      </c>
      <c r="E53" s="7" t="s">
        <v>134</v>
      </c>
    </row>
    <row r="54" spans="1:5" ht="38.2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4.5029313333333336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180.11725333333337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896.08333533333337</v>
      </c>
      <c r="E56" s="22"/>
    </row>
    <row r="59" spans="1:5" x14ac:dyDescent="0.25">
      <c r="A59" s="178" t="s">
        <v>36</v>
      </c>
      <c r="B59" s="178"/>
      <c r="C59" s="178"/>
      <c r="D59" s="178"/>
      <c r="E59" s="178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Diurno - Diária ronda'!B62,VLOOKUP(B62,Beneficios!$A$1:$F$8,6,FALSE))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30</v>
      </c>
      <c r="B67" s="183" t="s">
        <v>240</v>
      </c>
      <c r="C67" s="184"/>
      <c r="D67" s="6">
        <f>5%*$C$17</f>
        <v>72.498000000000005</v>
      </c>
      <c r="E67" s="22" t="s">
        <v>241</v>
      </c>
    </row>
    <row r="68" spans="1:5" x14ac:dyDescent="0.25">
      <c r="A68" s="5" t="s">
        <v>14</v>
      </c>
      <c r="B68" s="183" t="s">
        <v>242</v>
      </c>
      <c r="C68" s="184"/>
      <c r="D68" s="6">
        <v>6</v>
      </c>
      <c r="E68" s="22" t="s">
        <v>243</v>
      </c>
    </row>
    <row r="69" spans="1:5" x14ac:dyDescent="0.25">
      <c r="A69" s="180" t="s">
        <v>16</v>
      </c>
      <c r="B69" s="181"/>
      <c r="C69" s="182"/>
      <c r="D69" s="10">
        <f>SUM(D62:D68)</f>
        <v>633.07389999999998</v>
      </c>
      <c r="E69" s="22"/>
    </row>
    <row r="72" spans="1:5" x14ac:dyDescent="0.25">
      <c r="A72" s="178" t="s">
        <v>40</v>
      </c>
      <c r="B72" s="178"/>
      <c r="C72" s="178"/>
      <c r="D72" s="178"/>
      <c r="E72" s="178"/>
    </row>
    <row r="74" spans="1:5" x14ac:dyDescent="0.25">
      <c r="A74" s="31">
        <v>2</v>
      </c>
      <c r="B74" s="76" t="s">
        <v>41</v>
      </c>
      <c r="C74" s="77"/>
      <c r="D74" s="31" t="s">
        <v>3</v>
      </c>
      <c r="E74" s="31" t="s">
        <v>90</v>
      </c>
    </row>
    <row r="75" spans="1:5" x14ac:dyDescent="0.25">
      <c r="A75" s="5" t="s">
        <v>19</v>
      </c>
      <c r="B75" s="78" t="s">
        <v>20</v>
      </c>
      <c r="C75" s="79"/>
      <c r="D75" s="6">
        <f>D42</f>
        <v>366.51766666666668</v>
      </c>
      <c r="E75" s="22"/>
    </row>
    <row r="76" spans="1:5" x14ac:dyDescent="0.25">
      <c r="A76" s="5" t="s">
        <v>23</v>
      </c>
      <c r="B76" s="78" t="s">
        <v>24</v>
      </c>
      <c r="C76" s="79"/>
      <c r="D76" s="6">
        <f>D56</f>
        <v>896.08333533333337</v>
      </c>
      <c r="E76" s="22"/>
    </row>
    <row r="77" spans="1:5" x14ac:dyDescent="0.25">
      <c r="A77" s="5" t="s">
        <v>37</v>
      </c>
      <c r="B77" s="78" t="s">
        <v>38</v>
      </c>
      <c r="C77" s="79"/>
      <c r="D77" s="6">
        <f>D69</f>
        <v>633.07389999999998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1895.6749020000002</v>
      </c>
      <c r="E78" s="22"/>
    </row>
    <row r="79" spans="1:5" x14ac:dyDescent="0.25">
      <c r="A79" s="3"/>
    </row>
    <row r="81" spans="1:5" x14ac:dyDescent="0.25">
      <c r="A81" s="178" t="s">
        <v>42</v>
      </c>
      <c r="B81" s="178"/>
      <c r="C81" s="178"/>
      <c r="D81" s="178"/>
      <c r="E81" s="178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9.3811069444444453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0.7504885555555556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90.058626666666683</v>
      </c>
      <c r="E86" s="7" t="s">
        <v>139</v>
      </c>
    </row>
    <row r="87" spans="1:5" ht="25.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43.778499074074077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17.423842631481488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161.39256387222224</v>
      </c>
      <c r="E90" s="42"/>
    </row>
    <row r="93" spans="1:5" x14ac:dyDescent="0.25">
      <c r="A93" s="178" t="s">
        <v>48</v>
      </c>
      <c r="B93" s="178"/>
      <c r="C93" s="178"/>
      <c r="D93" s="178"/>
      <c r="E93" s="178"/>
    </row>
    <row r="95" spans="1:5" x14ac:dyDescent="0.25">
      <c r="A95" s="178" t="s">
        <v>49</v>
      </c>
      <c r="B95" s="178"/>
      <c r="C95" s="178"/>
      <c r="D95" s="178"/>
      <c r="E95" s="178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16.367029213442251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0.77526304162153692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1.3770135501006133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3.6170672469894427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8.767324410935359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30.903697463089202</v>
      </c>
      <c r="E104" s="22"/>
    </row>
    <row r="107" spans="1:5" x14ac:dyDescent="0.25">
      <c r="A107" s="178" t="s">
        <v>56</v>
      </c>
      <c r="B107" s="178"/>
      <c r="C107" s="178"/>
      <c r="D107" s="178"/>
      <c r="E107" s="178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D31/220*0.5*1.5*15</f>
        <v>96.389386363636376</v>
      </c>
      <c r="E110" s="22" t="s">
        <v>137</v>
      </c>
    </row>
    <row r="111" spans="1:5" x14ac:dyDescent="0.25">
      <c r="A111" s="180" t="s">
        <v>16</v>
      </c>
      <c r="B111" s="181"/>
      <c r="C111" s="182"/>
      <c r="D111" s="6">
        <f>D110</f>
        <v>96.389386363636376</v>
      </c>
      <c r="E111" s="22"/>
    </row>
    <row r="114" spans="1:5" x14ac:dyDescent="0.25">
      <c r="A114" s="178" t="s">
        <v>59</v>
      </c>
      <c r="B114" s="178"/>
      <c r="C114" s="178"/>
      <c r="D114" s="178"/>
      <c r="E114" s="178"/>
    </row>
    <row r="115" spans="1:5" x14ac:dyDescent="0.25">
      <c r="A115" s="2"/>
    </row>
    <row r="116" spans="1:5" x14ac:dyDescent="0.25">
      <c r="A116" s="31">
        <v>4</v>
      </c>
      <c r="B116" s="76" t="s">
        <v>60</v>
      </c>
      <c r="C116" s="77"/>
      <c r="D116" s="31" t="s">
        <v>3</v>
      </c>
      <c r="E116" s="31" t="s">
        <v>90</v>
      </c>
    </row>
    <row r="117" spans="1:5" x14ac:dyDescent="0.25">
      <c r="A117" s="5" t="s">
        <v>50</v>
      </c>
      <c r="B117" s="78" t="s">
        <v>51</v>
      </c>
      <c r="C117" s="79"/>
      <c r="D117" s="6">
        <f>D104</f>
        <v>30.903697463089202</v>
      </c>
      <c r="E117" s="22"/>
    </row>
    <row r="118" spans="1:5" x14ac:dyDescent="0.25">
      <c r="A118" s="5" t="s">
        <v>57</v>
      </c>
      <c r="B118" s="78" t="s">
        <v>58</v>
      </c>
      <c r="C118" s="79"/>
      <c r="D118" s="6">
        <f>D111</f>
        <v>96.389386363636376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127.29308382672558</v>
      </c>
      <c r="E119" s="22"/>
    </row>
    <row r="122" spans="1:5" x14ac:dyDescent="0.25">
      <c r="A122" s="178" t="s">
        <v>61</v>
      </c>
      <c r="B122" s="178"/>
      <c r="C122" s="178"/>
      <c r="D122" s="178"/>
      <c r="E122" s="178"/>
    </row>
    <row r="124" spans="1:5" x14ac:dyDescent="0.25">
      <c r="A124" s="31">
        <v>5</v>
      </c>
      <c r="B124" s="76" t="s">
        <v>62</v>
      </c>
      <c r="C124" s="77"/>
      <c r="D124" s="31" t="s">
        <v>3</v>
      </c>
      <c r="E124" s="31" t="s">
        <v>126</v>
      </c>
    </row>
    <row r="125" spans="1:5" x14ac:dyDescent="0.25">
      <c r="A125" s="5" t="s">
        <v>4</v>
      </c>
      <c r="B125" s="78" t="s">
        <v>63</v>
      </c>
      <c r="C125" s="79"/>
      <c r="D125" s="6">
        <f>SUM(Uniformes!F:F)</f>
        <v>287.56833333333333</v>
      </c>
      <c r="E125" s="42"/>
    </row>
    <row r="126" spans="1:5" x14ac:dyDescent="0.25">
      <c r="A126" s="5" t="s">
        <v>6</v>
      </c>
      <c r="B126" s="78" t="s">
        <v>64</v>
      </c>
      <c r="C126" s="79"/>
      <c r="D126" s="6">
        <f>SUM(Materiais!F:F)</f>
        <v>5.27</v>
      </c>
      <c r="E126" s="42"/>
    </row>
    <row r="127" spans="1:5" x14ac:dyDescent="0.25">
      <c r="A127" s="5" t="s">
        <v>8</v>
      </c>
      <c r="B127" s="78" t="s">
        <v>65</v>
      </c>
      <c r="C127" s="79"/>
      <c r="D127" s="6">
        <f>SUM(Equipamentos!I:I)/SUM(Resumo!E5:E8)</f>
        <v>22.361166666666662</v>
      </c>
      <c r="E127" s="42"/>
    </row>
    <row r="128" spans="1:5" x14ac:dyDescent="0.25">
      <c r="A128" s="5" t="s">
        <v>10</v>
      </c>
      <c r="B128" s="78" t="s">
        <v>15</v>
      </c>
      <c r="C128" s="79"/>
      <c r="D128" s="6"/>
      <c r="E128" s="22"/>
    </row>
    <row r="129" spans="1:5" x14ac:dyDescent="0.25">
      <c r="A129" s="180" t="s">
        <v>35</v>
      </c>
      <c r="B129" s="181"/>
      <c r="C129" s="182"/>
      <c r="D129" s="10">
        <f>SUM(D125:D128)</f>
        <v>315.19949999999994</v>
      </c>
      <c r="E129" s="22"/>
    </row>
    <row r="132" spans="1:5" x14ac:dyDescent="0.25">
      <c r="A132" s="178" t="s">
        <v>66</v>
      </c>
      <c r="B132" s="178"/>
      <c r="C132" s="178"/>
      <c r="D132" s="178"/>
      <c r="E132" s="178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219.22540248494738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460.37334521838949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841.55710627384906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97.443454410656202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448.83045667938615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295.2831951838067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1521.1558539771859</v>
      </c>
      <c r="E144" s="22"/>
    </row>
    <row r="147" spans="1:5" x14ac:dyDescent="0.25">
      <c r="A147" s="178" t="s">
        <v>73</v>
      </c>
      <c r="B147" s="178"/>
      <c r="C147" s="178"/>
      <c r="D147" s="178"/>
      <c r="E147" s="178"/>
    </row>
    <row r="149" spans="1:5" x14ac:dyDescent="0.25">
      <c r="A149" s="31"/>
      <c r="B149" s="76" t="s">
        <v>74</v>
      </c>
      <c r="C149" s="77"/>
      <c r="D149" s="31" t="s">
        <v>3</v>
      </c>
      <c r="E149" s="31" t="s">
        <v>90</v>
      </c>
    </row>
    <row r="150" spans="1:5" x14ac:dyDescent="0.25">
      <c r="A150" s="5" t="s">
        <v>4</v>
      </c>
      <c r="B150" s="78" t="s">
        <v>1</v>
      </c>
      <c r="C150" s="79"/>
      <c r="D150" s="6">
        <f>D31</f>
        <v>1884.9480000000001</v>
      </c>
      <c r="E150" s="22"/>
    </row>
    <row r="151" spans="1:5" x14ac:dyDescent="0.25">
      <c r="A151" s="5" t="s">
        <v>6</v>
      </c>
      <c r="B151" s="78" t="s">
        <v>17</v>
      </c>
      <c r="C151" s="79"/>
      <c r="D151" s="6">
        <f>D78</f>
        <v>1895.6749020000002</v>
      </c>
      <c r="E151" s="22"/>
    </row>
    <row r="152" spans="1:5" x14ac:dyDescent="0.25">
      <c r="A152" s="5" t="s">
        <v>8</v>
      </c>
      <c r="B152" s="78" t="s">
        <v>42</v>
      </c>
      <c r="C152" s="79"/>
      <c r="D152" s="6">
        <f>D90</f>
        <v>161.39256387222224</v>
      </c>
      <c r="E152" s="22"/>
    </row>
    <row r="153" spans="1:5" x14ac:dyDescent="0.25">
      <c r="A153" s="5" t="s">
        <v>10</v>
      </c>
      <c r="B153" s="78" t="s">
        <v>48</v>
      </c>
      <c r="C153" s="38"/>
      <c r="D153" s="6">
        <f>D119</f>
        <v>127.29308382672558</v>
      </c>
      <c r="E153" s="22"/>
    </row>
    <row r="154" spans="1:5" x14ac:dyDescent="0.25">
      <c r="A154" s="5" t="s">
        <v>12</v>
      </c>
      <c r="B154" s="78" t="s">
        <v>61</v>
      </c>
      <c r="C154" s="38"/>
      <c r="D154" s="6">
        <f>D129</f>
        <v>315.19949999999994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4384.5080496989476</v>
      </c>
      <c r="E155" s="22"/>
    </row>
    <row r="156" spans="1:5" x14ac:dyDescent="0.25">
      <c r="A156" s="23" t="s">
        <v>30</v>
      </c>
      <c r="B156" s="78" t="s">
        <v>76</v>
      </c>
      <c r="C156" s="38"/>
      <c r="D156" s="6">
        <f>D144</f>
        <v>1521.1558539771859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5905.6639036761335</v>
      </c>
      <c r="E157" s="22"/>
    </row>
    <row r="158" spans="1:5" ht="15.75" customHeight="1" x14ac:dyDescent="0.25">
      <c r="A158" s="180" t="s">
        <v>273</v>
      </c>
      <c r="B158" s="181"/>
      <c r="C158" s="182"/>
      <c r="D158" s="10">
        <f>D157/15</f>
        <v>393.71092691174221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D158*24</f>
        <v>9449.0622458818125</v>
      </c>
      <c r="E159" s="22"/>
    </row>
  </sheetData>
  <mergeCells count="54"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2">
    <dataValidation type="list" allowBlank="1" showInputMessage="1" showErrorMessage="1" sqref="G1">
      <formula1>$O$1:$O$2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M31" sqref="M31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30.7109375" style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8" t="s">
        <v>0</v>
      </c>
      <c r="B1" s="178"/>
      <c r="C1" s="178"/>
      <c r="D1" s="178"/>
      <c r="E1" s="178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78" t="s">
        <v>106</v>
      </c>
      <c r="C5" s="187"/>
      <c r="D5" s="188"/>
      <c r="H5" s="15"/>
    </row>
    <row r="6" spans="1:9" x14ac:dyDescent="0.25">
      <c r="A6" s="5" t="s">
        <v>6</v>
      </c>
      <c r="B6" s="78" t="s">
        <v>107</v>
      </c>
      <c r="C6" s="188"/>
      <c r="D6" s="188"/>
      <c r="H6" s="15"/>
    </row>
    <row r="7" spans="1:9" ht="25.5" x14ac:dyDescent="0.25">
      <c r="A7" s="5" t="s">
        <v>8</v>
      </c>
      <c r="B7" s="78" t="s">
        <v>108</v>
      </c>
      <c r="C7" s="189" t="s">
        <v>228</v>
      </c>
      <c r="D7" s="189"/>
      <c r="H7" s="15"/>
    </row>
    <row r="8" spans="1:9" x14ac:dyDescent="0.25">
      <c r="A8" s="5" t="s">
        <v>10</v>
      </c>
      <c r="B8" s="78" t="s">
        <v>109</v>
      </c>
      <c r="C8" s="189">
        <v>12</v>
      </c>
      <c r="D8" s="189"/>
      <c r="H8" s="15"/>
    </row>
    <row r="9" spans="1:9" x14ac:dyDescent="0.25">
      <c r="A9" s="190"/>
      <c r="B9" s="190"/>
      <c r="C9" s="190"/>
      <c r="D9" s="190"/>
      <c r="E9" s="81"/>
    </row>
    <row r="10" spans="1:9" x14ac:dyDescent="0.25">
      <c r="A10" s="178" t="s">
        <v>78</v>
      </c>
      <c r="B10" s="178"/>
      <c r="C10" s="178"/>
      <c r="D10" s="178"/>
      <c r="E10" s="178"/>
    </row>
    <row r="11" spans="1:9" ht="25.5" customHeight="1" x14ac:dyDescent="0.25">
      <c r="A11" s="191" t="s">
        <v>79</v>
      </c>
      <c r="B11" s="191"/>
      <c r="C11" s="73" t="s">
        <v>80</v>
      </c>
      <c r="D11" s="73" t="s">
        <v>81</v>
      </c>
      <c r="E11" s="73" t="s">
        <v>179</v>
      </c>
    </row>
    <row r="12" spans="1:9" ht="15.75" customHeight="1" x14ac:dyDescent="0.25">
      <c r="A12" s="192" t="s">
        <v>146</v>
      </c>
      <c r="B12" s="192"/>
      <c r="C12" s="185" t="s">
        <v>82</v>
      </c>
      <c r="D12" s="185"/>
      <c r="E12" s="194"/>
    </row>
    <row r="13" spans="1:9" x14ac:dyDescent="0.25">
      <c r="A13" s="193"/>
      <c r="B13" s="193"/>
      <c r="C13" s="186"/>
      <c r="D13" s="186"/>
      <c r="E13" s="195"/>
    </row>
    <row r="14" spans="1:9" x14ac:dyDescent="0.25">
      <c r="A14" s="4"/>
      <c r="B14" s="4"/>
      <c r="C14" s="4"/>
      <c r="D14" s="4"/>
      <c r="E14" s="4"/>
    </row>
    <row r="15" spans="1:9" x14ac:dyDescent="0.25">
      <c r="A15" s="80">
        <v>1</v>
      </c>
      <c r="B15" s="35" t="s">
        <v>110</v>
      </c>
      <c r="C15" s="197" t="s">
        <v>152</v>
      </c>
      <c r="D15" s="197"/>
      <c r="E15" s="197"/>
      <c r="F15" s="34"/>
    </row>
    <row r="16" spans="1:9" x14ac:dyDescent="0.25">
      <c r="A16" s="80">
        <v>2</v>
      </c>
      <c r="B16" s="35" t="s">
        <v>111</v>
      </c>
      <c r="C16" s="197"/>
      <c r="D16" s="197"/>
      <c r="E16" s="197"/>
      <c r="F16" s="34"/>
    </row>
    <row r="17" spans="1:6" x14ac:dyDescent="0.25">
      <c r="A17" s="80">
        <v>3</v>
      </c>
      <c r="B17" s="35" t="s">
        <v>112</v>
      </c>
      <c r="C17" s="198">
        <f>$D$25</f>
        <v>1449.96</v>
      </c>
      <c r="D17" s="198"/>
      <c r="E17" s="198"/>
      <c r="F17" s="34"/>
    </row>
    <row r="18" spans="1:6" x14ac:dyDescent="0.25">
      <c r="A18" s="80">
        <v>4</v>
      </c>
      <c r="B18" s="35" t="s">
        <v>113</v>
      </c>
      <c r="C18" s="197" t="s">
        <v>148</v>
      </c>
      <c r="D18" s="197"/>
      <c r="E18" s="197"/>
      <c r="F18" s="34"/>
    </row>
    <row r="19" spans="1:6" x14ac:dyDescent="0.25">
      <c r="A19" s="80">
        <v>5</v>
      </c>
      <c r="B19" s="35" t="s">
        <v>114</v>
      </c>
      <c r="C19" s="196">
        <v>44562</v>
      </c>
      <c r="D19" s="197"/>
      <c r="E19" s="197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8" t="s">
        <v>1</v>
      </c>
      <c r="B22" s="178"/>
      <c r="C22" s="178"/>
      <c r="D22" s="178"/>
      <c r="E22" s="178"/>
    </row>
    <row r="24" spans="1:6" ht="25.5" customHeight="1" x14ac:dyDescent="0.25">
      <c r="A24" s="31">
        <v>1</v>
      </c>
      <c r="B24" s="76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78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78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78" t="s">
        <v>9</v>
      </c>
      <c r="C27" s="13"/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78" t="s">
        <v>11</v>
      </c>
      <c r="C28" s="13">
        <v>0.2</v>
      </c>
      <c r="D28" s="6">
        <f>(SUM(D25:D26)/220)*$C$28*7*15</f>
        <v>179.92685454545457</v>
      </c>
      <c r="E28" s="22" t="s">
        <v>231</v>
      </c>
    </row>
    <row r="29" spans="1:6" x14ac:dyDescent="0.25">
      <c r="A29" s="5" t="s">
        <v>12</v>
      </c>
      <c r="B29" s="78" t="s">
        <v>13</v>
      </c>
      <c r="C29" s="146">
        <f>60/52.5</f>
        <v>1.1428571428571428</v>
      </c>
      <c r="D29" s="6">
        <f>(SUM(D25:D26)/220)*7*$C$29</f>
        <v>68.543563636363643</v>
      </c>
      <c r="E29" s="22" t="s">
        <v>231</v>
      </c>
    </row>
    <row r="30" spans="1:6" x14ac:dyDescent="0.25">
      <c r="A30" s="5" t="s">
        <v>14</v>
      </c>
      <c r="B30" s="78" t="s">
        <v>149</v>
      </c>
      <c r="C30" s="13"/>
      <c r="D30" s="6"/>
      <c r="E30" s="54"/>
    </row>
    <row r="31" spans="1:6" x14ac:dyDescent="0.25">
      <c r="A31" s="180" t="s">
        <v>16</v>
      </c>
      <c r="B31" s="182"/>
      <c r="C31" s="10"/>
      <c r="D31" s="10">
        <f>SUM(D25:D30)</f>
        <v>2133.4184181818182</v>
      </c>
      <c r="E31" s="10"/>
    </row>
    <row r="34" spans="1:5" x14ac:dyDescent="0.25">
      <c r="A34" s="178" t="s">
        <v>17</v>
      </c>
      <c r="B34" s="178"/>
      <c r="C34" s="178"/>
      <c r="D34" s="178"/>
      <c r="E34" s="178"/>
    </row>
    <row r="35" spans="1:5" x14ac:dyDescent="0.25">
      <c r="A35" s="2"/>
    </row>
    <row r="36" spans="1:5" x14ac:dyDescent="0.25">
      <c r="A36" s="178" t="s">
        <v>18</v>
      </c>
      <c r="B36" s="178"/>
      <c r="C36" s="178"/>
      <c r="D36" s="178"/>
      <c r="E36" s="178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177.78486818181818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177.78486818181818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59.261622727272723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414.83135909090907</v>
      </c>
      <c r="E42" s="22"/>
    </row>
    <row r="45" spans="1:5" x14ac:dyDescent="0.25">
      <c r="A45" s="178" t="s">
        <v>22</v>
      </c>
      <c r="B45" s="178"/>
      <c r="C45" s="178"/>
      <c r="D45" s="178"/>
      <c r="E45" s="178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38.25" x14ac:dyDescent="0.25">
      <c r="A48" s="5" t="s">
        <v>4</v>
      </c>
      <c r="B48" s="7" t="s">
        <v>26</v>
      </c>
      <c r="C48" s="8">
        <v>0.2</v>
      </c>
      <c r="D48" s="6">
        <f>($D$31+$D$42)*C48</f>
        <v>509.64995545454553</v>
      </c>
      <c r="E48" s="7" t="s">
        <v>128</v>
      </c>
    </row>
    <row r="49" spans="1:5" ht="38.2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63.706244431818192</v>
      </c>
      <c r="E49" s="7" t="s">
        <v>129</v>
      </c>
    </row>
    <row r="50" spans="1:5" ht="25.5" x14ac:dyDescent="0.25">
      <c r="A50" s="5" t="s">
        <v>8</v>
      </c>
      <c r="B50" s="7" t="s">
        <v>131</v>
      </c>
      <c r="C50" s="144">
        <v>0.06</v>
      </c>
      <c r="D50" s="6">
        <f t="shared" si="0"/>
        <v>152.89498663636365</v>
      </c>
      <c r="E50" s="7" t="s">
        <v>130</v>
      </c>
    </row>
    <row r="51" spans="1:5" ht="25.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38.223746659090914</v>
      </c>
      <c r="E51" s="7" t="s">
        <v>132</v>
      </c>
    </row>
    <row r="52" spans="1:5" ht="63.7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25.482497772727275</v>
      </c>
      <c r="E52" s="7" t="s">
        <v>133</v>
      </c>
    </row>
    <row r="53" spans="1:5" ht="25.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15.289498663636365</v>
      </c>
      <c r="E53" s="7" t="s">
        <v>134</v>
      </c>
    </row>
    <row r="54" spans="1:5" ht="38.2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5.0964995545454546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203.8599821818182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1014.2034113545454</v>
      </c>
      <c r="E56" s="22"/>
    </row>
    <row r="59" spans="1:5" x14ac:dyDescent="0.25">
      <c r="A59" s="178" t="s">
        <v>36</v>
      </c>
      <c r="B59" s="178"/>
      <c r="C59" s="178"/>
      <c r="D59" s="178"/>
      <c r="E59" s="178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64.5" x14ac:dyDescent="0.25">
      <c r="A62" s="5" t="s">
        <v>4</v>
      </c>
      <c r="B62" s="183" t="s">
        <v>117</v>
      </c>
      <c r="C62" s="184"/>
      <c r="D62" s="6">
        <f>IF(VLOOKUP(B62,Beneficios!$A$1:$F$8,1,FALSE)='Vigilante Noturno - Diária'!B62,VLOOKUP(B62,Beneficios!$A$1:$F$8,6,FALSE))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12</v>
      </c>
      <c r="B67" s="183" t="s">
        <v>242</v>
      </c>
      <c r="C67" s="184"/>
      <c r="D67" s="6">
        <v>6</v>
      </c>
      <c r="E67" s="22" t="s">
        <v>243</v>
      </c>
    </row>
    <row r="68" spans="1:5" x14ac:dyDescent="0.25">
      <c r="A68" s="5" t="s">
        <v>30</v>
      </c>
      <c r="B68" s="183" t="s">
        <v>15</v>
      </c>
      <c r="C68" s="184"/>
      <c r="D68" s="6">
        <v>0</v>
      </c>
      <c r="E68" s="22" t="s">
        <v>137</v>
      </c>
    </row>
    <row r="69" spans="1:5" x14ac:dyDescent="0.25">
      <c r="A69" s="180" t="s">
        <v>16</v>
      </c>
      <c r="B69" s="181"/>
      <c r="C69" s="182"/>
      <c r="D69" s="10">
        <f>SUM(D62:D68)</f>
        <v>560.57589999999993</v>
      </c>
      <c r="E69" s="22"/>
    </row>
    <row r="72" spans="1:5" x14ac:dyDescent="0.25">
      <c r="A72" s="178" t="s">
        <v>40</v>
      </c>
      <c r="B72" s="178"/>
      <c r="C72" s="178"/>
      <c r="D72" s="178"/>
      <c r="E72" s="178"/>
    </row>
    <row r="74" spans="1:5" x14ac:dyDescent="0.25">
      <c r="A74" s="31">
        <v>2</v>
      </c>
      <c r="B74" s="76" t="s">
        <v>41</v>
      </c>
      <c r="C74" s="77"/>
      <c r="D74" s="31" t="s">
        <v>3</v>
      </c>
      <c r="E74" s="31" t="s">
        <v>90</v>
      </c>
    </row>
    <row r="75" spans="1:5" x14ac:dyDescent="0.25">
      <c r="A75" s="5" t="s">
        <v>19</v>
      </c>
      <c r="B75" s="78" t="s">
        <v>20</v>
      </c>
      <c r="C75" s="79"/>
      <c r="D75" s="6">
        <f>D42</f>
        <v>414.83135909090907</v>
      </c>
      <c r="E75" s="22"/>
    </row>
    <row r="76" spans="1:5" x14ac:dyDescent="0.25">
      <c r="A76" s="5" t="s">
        <v>23</v>
      </c>
      <c r="B76" s="78" t="s">
        <v>24</v>
      </c>
      <c r="C76" s="79"/>
      <c r="D76" s="6">
        <f>D56</f>
        <v>1014.2034113545454</v>
      </c>
      <c r="E76" s="22"/>
    </row>
    <row r="77" spans="1:5" x14ac:dyDescent="0.25">
      <c r="A77" s="5" t="s">
        <v>37</v>
      </c>
      <c r="B77" s="78" t="s">
        <v>38</v>
      </c>
      <c r="C77" s="79"/>
      <c r="D77" s="6">
        <f>D69</f>
        <v>560.57589999999993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1989.6106704454546</v>
      </c>
      <c r="E78" s="22"/>
    </row>
    <row r="79" spans="1:5" x14ac:dyDescent="0.25">
      <c r="A79" s="3"/>
    </row>
    <row r="81" spans="1:5" x14ac:dyDescent="0.25">
      <c r="A81" s="178" t="s">
        <v>42</v>
      </c>
      <c r="B81" s="178"/>
      <c r="C81" s="178"/>
      <c r="D81" s="178"/>
      <c r="E81" s="178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10.617707405303031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0.8494165924242425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101.9299910909091</v>
      </c>
      <c r="E86" s="7" t="s">
        <v>139</v>
      </c>
    </row>
    <row r="87" spans="1:5" ht="25.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49.549301224747481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19.7206218874495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($D$31+$D$42)*C89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182.66703820083336</v>
      </c>
      <c r="E90" s="42"/>
    </row>
    <row r="93" spans="1:5" x14ac:dyDescent="0.25">
      <c r="A93" s="178" t="s">
        <v>48</v>
      </c>
      <c r="B93" s="178"/>
      <c r="C93" s="178"/>
      <c r="D93" s="178"/>
      <c r="E93" s="178"/>
    </row>
    <row r="95" spans="1:5" x14ac:dyDescent="0.25">
      <c r="A95" s="178" t="s">
        <v>49</v>
      </c>
      <c r="B95" s="178"/>
      <c r="C95" s="178"/>
      <c r="D95" s="178"/>
      <c r="E95" s="178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17.877011113249914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0.84678690494286057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1.5040534367731513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3.9507689837014106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9.5761762188970305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33.75479665756437</v>
      </c>
      <c r="E104" s="22"/>
    </row>
    <row r="107" spans="1:5" x14ac:dyDescent="0.25">
      <c r="A107" s="178" t="s">
        <v>56</v>
      </c>
      <c r="B107" s="178"/>
      <c r="C107" s="178"/>
      <c r="D107" s="178"/>
      <c r="E107" s="178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(D31-$D$28)/220*0.5*1.5*15</f>
        <v>99.894454958677684</v>
      </c>
      <c r="E110" s="22" t="s">
        <v>230</v>
      </c>
    </row>
    <row r="111" spans="1:5" x14ac:dyDescent="0.25">
      <c r="A111" s="180" t="s">
        <v>16</v>
      </c>
      <c r="B111" s="181"/>
      <c r="C111" s="182"/>
      <c r="D111" s="6">
        <f>D110</f>
        <v>99.894454958677684</v>
      </c>
      <c r="E111" s="22"/>
    </row>
    <row r="114" spans="1:5" x14ac:dyDescent="0.25">
      <c r="A114" s="178" t="s">
        <v>59</v>
      </c>
      <c r="B114" s="178"/>
      <c r="C114" s="178"/>
      <c r="D114" s="178"/>
      <c r="E114" s="178"/>
    </row>
    <row r="115" spans="1:5" x14ac:dyDescent="0.25">
      <c r="A115" s="2"/>
    </row>
    <row r="116" spans="1:5" x14ac:dyDescent="0.25">
      <c r="A116" s="31">
        <v>4</v>
      </c>
      <c r="B116" s="76" t="s">
        <v>60</v>
      </c>
      <c r="C116" s="77"/>
      <c r="D116" s="31" t="s">
        <v>3</v>
      </c>
      <c r="E116" s="31" t="s">
        <v>90</v>
      </c>
    </row>
    <row r="117" spans="1:5" x14ac:dyDescent="0.25">
      <c r="A117" s="5" t="s">
        <v>50</v>
      </c>
      <c r="B117" s="78" t="s">
        <v>51</v>
      </c>
      <c r="C117" s="79"/>
      <c r="D117" s="6">
        <f>D104</f>
        <v>33.75479665756437</v>
      </c>
      <c r="E117" s="22"/>
    </row>
    <row r="118" spans="1:5" x14ac:dyDescent="0.25">
      <c r="A118" s="5" t="s">
        <v>57</v>
      </c>
      <c r="B118" s="78" t="s">
        <v>58</v>
      </c>
      <c r="C118" s="79"/>
      <c r="D118" s="6">
        <f>D111</f>
        <v>99.894454958677684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133.64925161624205</v>
      </c>
      <c r="E119" s="22"/>
    </row>
    <row r="122" spans="1:5" x14ac:dyDescent="0.25">
      <c r="A122" s="178" t="s">
        <v>61</v>
      </c>
      <c r="B122" s="178"/>
      <c r="C122" s="178"/>
      <c r="D122" s="178"/>
      <c r="E122" s="178"/>
    </row>
    <row r="124" spans="1:5" x14ac:dyDescent="0.25">
      <c r="A124" s="31">
        <v>5</v>
      </c>
      <c r="B124" s="76" t="s">
        <v>62</v>
      </c>
      <c r="C124" s="77"/>
      <c r="D124" s="31" t="s">
        <v>3</v>
      </c>
      <c r="E124" s="31" t="s">
        <v>126</v>
      </c>
    </row>
    <row r="125" spans="1:5" x14ac:dyDescent="0.25">
      <c r="A125" s="5" t="s">
        <v>4</v>
      </c>
      <c r="B125" s="78" t="s">
        <v>63</v>
      </c>
      <c r="C125" s="79"/>
      <c r="D125" s="6">
        <f>SUM(Uniformes!F:F)</f>
        <v>287.56833333333333</v>
      </c>
      <c r="E125" s="42"/>
    </row>
    <row r="126" spans="1:5" x14ac:dyDescent="0.25">
      <c r="A126" s="5" t="s">
        <v>6</v>
      </c>
      <c r="B126" s="78" t="s">
        <v>64</v>
      </c>
      <c r="C126" s="79"/>
      <c r="D126" s="6">
        <f>SUM(Materiais!F:F)</f>
        <v>5.27</v>
      </c>
      <c r="E126" s="42"/>
    </row>
    <row r="127" spans="1:5" x14ac:dyDescent="0.25">
      <c r="A127" s="5" t="s">
        <v>8</v>
      </c>
      <c r="B127" s="78" t="s">
        <v>65</v>
      </c>
      <c r="C127" s="79"/>
      <c r="D127" s="6">
        <f>IFERROR(SUM(Equipamentos!I:I)/SUM(Resumo!E5:E8),0)</f>
        <v>22.361166666666662</v>
      </c>
      <c r="E127" s="42"/>
    </row>
    <row r="128" spans="1:5" x14ac:dyDescent="0.25">
      <c r="A128" s="5" t="s">
        <v>10</v>
      </c>
      <c r="B128" s="78" t="s">
        <v>15</v>
      </c>
      <c r="C128" s="79"/>
      <c r="D128" s="6"/>
      <c r="E128" s="22"/>
    </row>
    <row r="129" spans="1:5" x14ac:dyDescent="0.25">
      <c r="A129" s="180" t="s">
        <v>35</v>
      </c>
      <c r="B129" s="181"/>
      <c r="C129" s="182"/>
      <c r="D129" s="10">
        <f>SUM(D125:D128)</f>
        <v>315.19949999999994</v>
      </c>
      <c r="E129" s="22"/>
    </row>
    <row r="132" spans="1:5" x14ac:dyDescent="0.25">
      <c r="A132" s="178" t="s">
        <v>66</v>
      </c>
      <c r="B132" s="178"/>
      <c r="C132" s="178"/>
      <c r="D132" s="178"/>
      <c r="E132" s="178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237.72724392221741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499.2272122366565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912.58152207692035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105.66733413522236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486.71014510769083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320.20404283400717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1649.5359782357941</v>
      </c>
      <c r="E144" s="22"/>
    </row>
    <row r="147" spans="1:5" x14ac:dyDescent="0.25">
      <c r="A147" s="178" t="s">
        <v>73</v>
      </c>
      <c r="B147" s="178"/>
      <c r="C147" s="178"/>
      <c r="D147" s="178"/>
      <c r="E147" s="178"/>
    </row>
    <row r="149" spans="1:5" x14ac:dyDescent="0.25">
      <c r="A149" s="31"/>
      <c r="B149" s="76" t="s">
        <v>74</v>
      </c>
      <c r="C149" s="77"/>
      <c r="D149" s="31" t="s">
        <v>3</v>
      </c>
      <c r="E149" s="31" t="s">
        <v>90</v>
      </c>
    </row>
    <row r="150" spans="1:5" x14ac:dyDescent="0.25">
      <c r="A150" s="5" t="s">
        <v>4</v>
      </c>
      <c r="B150" s="78" t="s">
        <v>1</v>
      </c>
      <c r="C150" s="79"/>
      <c r="D150" s="6">
        <f>D31</f>
        <v>2133.4184181818182</v>
      </c>
      <c r="E150" s="22"/>
    </row>
    <row r="151" spans="1:5" x14ac:dyDescent="0.25">
      <c r="A151" s="5" t="s">
        <v>6</v>
      </c>
      <c r="B151" s="78" t="s">
        <v>17</v>
      </c>
      <c r="C151" s="79"/>
      <c r="D151" s="6">
        <f>D78</f>
        <v>1989.6106704454546</v>
      </c>
      <c r="E151" s="22"/>
    </row>
    <row r="152" spans="1:5" x14ac:dyDescent="0.25">
      <c r="A152" s="5" t="s">
        <v>8</v>
      </c>
      <c r="B152" s="78" t="s">
        <v>42</v>
      </c>
      <c r="C152" s="79"/>
      <c r="D152" s="6">
        <f>D90</f>
        <v>182.66703820083336</v>
      </c>
      <c r="E152" s="22"/>
    </row>
    <row r="153" spans="1:5" x14ac:dyDescent="0.25">
      <c r="A153" s="5" t="s">
        <v>10</v>
      </c>
      <c r="B153" s="78" t="s">
        <v>48</v>
      </c>
      <c r="C153" s="38"/>
      <c r="D153" s="6">
        <f>D119</f>
        <v>133.64925161624205</v>
      </c>
      <c r="E153" s="22"/>
    </row>
    <row r="154" spans="1:5" x14ac:dyDescent="0.25">
      <c r="A154" s="5" t="s">
        <v>12</v>
      </c>
      <c r="B154" s="78" t="s">
        <v>61</v>
      </c>
      <c r="C154" s="38"/>
      <c r="D154" s="6">
        <f>D129</f>
        <v>315.19949999999994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4754.5448784443479</v>
      </c>
      <c r="E155" s="22"/>
    </row>
    <row r="156" spans="1:5" x14ac:dyDescent="0.25">
      <c r="A156" s="23" t="s">
        <v>30</v>
      </c>
      <c r="B156" s="78" t="s">
        <v>76</v>
      </c>
      <c r="C156" s="38"/>
      <c r="D156" s="6">
        <f>D144</f>
        <v>1649.5359782357941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6404.0808566801425</v>
      </c>
      <c r="E157" s="22"/>
    </row>
    <row r="158" spans="1:5" ht="15.75" customHeight="1" x14ac:dyDescent="0.25">
      <c r="A158" s="180" t="s">
        <v>83</v>
      </c>
      <c r="B158" s="181"/>
      <c r="C158" s="182"/>
      <c r="D158" s="10">
        <f>D157*$E$12</f>
        <v>0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D158*12</f>
        <v>0</v>
      </c>
      <c r="E159" s="22"/>
    </row>
  </sheetData>
  <mergeCells count="54"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2">
    <dataValidation type="list" allowBlank="1" showInputMessage="1" showErrorMessage="1" sqref="G3">
      <formula1>$P$1:$P$3</formula1>
    </dataValidation>
    <dataValidation type="list" allowBlank="1" showInputMessage="1" showErrorMessage="1" sqref="G1">
      <formula1>$O$1:$O$2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9"/>
  <sheetViews>
    <sheetView showGridLines="0" zoomScaleNormal="100" workbookViewId="0">
      <selection activeCell="C29" sqref="C29"/>
    </sheetView>
  </sheetViews>
  <sheetFormatPr defaultColWidth="9.140625" defaultRowHeight="15.75" x14ac:dyDescent="0.25"/>
  <cols>
    <col min="1" max="1" width="10.85546875" style="1" customWidth="1"/>
    <col min="2" max="2" width="55.85546875" style="1" customWidth="1"/>
    <col min="3" max="3" width="16.42578125" style="1" customWidth="1"/>
    <col min="4" max="4" width="18.42578125" style="1" customWidth="1"/>
    <col min="5" max="5" width="41" style="1" bestFit="1" customWidth="1"/>
    <col min="6" max="6" width="22.140625" style="1" bestFit="1" customWidth="1"/>
    <col min="7" max="7" width="15.140625" style="1" customWidth="1"/>
    <col min="8" max="16384" width="9.140625" style="1"/>
  </cols>
  <sheetData>
    <row r="1" spans="1:9" x14ac:dyDescent="0.25">
      <c r="A1" s="178" t="s">
        <v>0</v>
      </c>
      <c r="B1" s="178"/>
      <c r="C1" s="178"/>
      <c r="D1" s="178"/>
      <c r="E1" s="178"/>
      <c r="I1" s="43"/>
    </row>
    <row r="2" spans="1:9" x14ac:dyDescent="0.25">
      <c r="A2" s="55" t="s">
        <v>104</v>
      </c>
      <c r="B2" s="55"/>
      <c r="G2" s="75"/>
      <c r="H2" s="15"/>
    </row>
    <row r="3" spans="1:9" x14ac:dyDescent="0.25">
      <c r="A3" s="22" t="s">
        <v>105</v>
      </c>
      <c r="B3" s="22"/>
      <c r="G3" s="82"/>
      <c r="H3" s="15"/>
    </row>
    <row r="4" spans="1:9" x14ac:dyDescent="0.25">
      <c r="A4" s="14"/>
      <c r="B4" s="14"/>
      <c r="G4" s="83"/>
      <c r="H4" s="15"/>
    </row>
    <row r="5" spans="1:9" x14ac:dyDescent="0.25">
      <c r="A5" s="5" t="s">
        <v>4</v>
      </c>
      <c r="B5" s="78" t="s">
        <v>106</v>
      </c>
      <c r="C5" s="187"/>
      <c r="D5" s="188"/>
      <c r="H5" s="15"/>
    </row>
    <row r="6" spans="1:9" x14ac:dyDescent="0.25">
      <c r="A6" s="5" t="s">
        <v>6</v>
      </c>
      <c r="B6" s="78" t="s">
        <v>107</v>
      </c>
      <c r="C6" s="188"/>
      <c r="D6" s="188"/>
      <c r="H6" s="15"/>
    </row>
    <row r="7" spans="1:9" ht="25.5" x14ac:dyDescent="0.25">
      <c r="A7" s="5" t="s">
        <v>8</v>
      </c>
      <c r="B7" s="78" t="s">
        <v>108</v>
      </c>
      <c r="C7" s="189" t="s">
        <v>228</v>
      </c>
      <c r="D7" s="189"/>
      <c r="H7" s="15"/>
    </row>
    <row r="8" spans="1:9" x14ac:dyDescent="0.25">
      <c r="A8" s="5" t="s">
        <v>10</v>
      </c>
      <c r="B8" s="78" t="s">
        <v>109</v>
      </c>
      <c r="C8" s="189">
        <v>12</v>
      </c>
      <c r="D8" s="189"/>
      <c r="H8" s="15"/>
    </row>
    <row r="9" spans="1:9" x14ac:dyDescent="0.25">
      <c r="A9" s="190"/>
      <c r="B9" s="190"/>
      <c r="C9" s="190"/>
      <c r="D9" s="190"/>
      <c r="E9" s="81"/>
    </row>
    <row r="10" spans="1:9" x14ac:dyDescent="0.25">
      <c r="A10" s="178" t="s">
        <v>78</v>
      </c>
      <c r="B10" s="178"/>
      <c r="C10" s="178"/>
      <c r="D10" s="178"/>
      <c r="E10" s="178"/>
    </row>
    <row r="11" spans="1:9" ht="25.5" customHeight="1" x14ac:dyDescent="0.25">
      <c r="A11" s="191" t="s">
        <v>79</v>
      </c>
      <c r="B11" s="191"/>
      <c r="C11" s="73" t="s">
        <v>80</v>
      </c>
      <c r="D11" s="73" t="s">
        <v>81</v>
      </c>
      <c r="E11" s="73" t="s">
        <v>179</v>
      </c>
    </row>
    <row r="12" spans="1:9" ht="15.75" customHeight="1" x14ac:dyDescent="0.25">
      <c r="A12" s="192" t="s">
        <v>146</v>
      </c>
      <c r="B12" s="192"/>
      <c r="C12" s="185" t="s">
        <v>82</v>
      </c>
      <c r="D12" s="185"/>
      <c r="E12" s="194"/>
    </row>
    <row r="13" spans="1:9" x14ac:dyDescent="0.25">
      <c r="A13" s="193"/>
      <c r="B13" s="193"/>
      <c r="C13" s="186"/>
      <c r="D13" s="186"/>
      <c r="E13" s="195"/>
    </row>
    <row r="14" spans="1:9" x14ac:dyDescent="0.25">
      <c r="A14" s="4"/>
      <c r="B14" s="4"/>
      <c r="C14" s="4"/>
      <c r="D14" s="4"/>
      <c r="E14" s="4"/>
    </row>
    <row r="15" spans="1:9" x14ac:dyDescent="0.25">
      <c r="A15" s="80">
        <v>1</v>
      </c>
      <c r="B15" s="35" t="s">
        <v>110</v>
      </c>
      <c r="C15" s="197" t="s">
        <v>271</v>
      </c>
      <c r="D15" s="197"/>
      <c r="E15" s="197"/>
      <c r="F15" s="34"/>
    </row>
    <row r="16" spans="1:9" x14ac:dyDescent="0.25">
      <c r="A16" s="80">
        <v>2</v>
      </c>
      <c r="B16" s="35" t="s">
        <v>111</v>
      </c>
      <c r="C16" s="197"/>
      <c r="D16" s="197"/>
      <c r="E16" s="197"/>
      <c r="F16" s="34"/>
    </row>
    <row r="17" spans="1:6" x14ac:dyDescent="0.25">
      <c r="A17" s="80">
        <v>3</v>
      </c>
      <c r="B17" s="35" t="s">
        <v>112</v>
      </c>
      <c r="C17" s="198">
        <f>$D$25</f>
        <v>1449.96</v>
      </c>
      <c r="D17" s="198"/>
      <c r="E17" s="198"/>
      <c r="F17" s="34"/>
    </row>
    <row r="18" spans="1:6" x14ac:dyDescent="0.25">
      <c r="A18" s="80">
        <v>4</v>
      </c>
      <c r="B18" s="35" t="s">
        <v>113</v>
      </c>
      <c r="C18" s="197" t="s">
        <v>148</v>
      </c>
      <c r="D18" s="197"/>
      <c r="E18" s="197"/>
      <c r="F18" s="34"/>
    </row>
    <row r="19" spans="1:6" x14ac:dyDescent="0.25">
      <c r="A19" s="80">
        <v>5</v>
      </c>
      <c r="B19" s="35" t="s">
        <v>114</v>
      </c>
      <c r="C19" s="196">
        <v>44562</v>
      </c>
      <c r="D19" s="197"/>
      <c r="E19" s="197"/>
      <c r="F19" s="34"/>
    </row>
    <row r="20" spans="1:6" x14ac:dyDescent="0.25">
      <c r="A20" s="4"/>
      <c r="B20" s="4"/>
      <c r="C20" s="53"/>
      <c r="D20" s="53"/>
      <c r="E20" s="53"/>
    </row>
    <row r="22" spans="1:6" x14ac:dyDescent="0.25">
      <c r="A22" s="178" t="s">
        <v>1</v>
      </c>
      <c r="B22" s="178"/>
      <c r="C22" s="178"/>
      <c r="D22" s="178"/>
      <c r="E22" s="178"/>
    </row>
    <row r="24" spans="1:6" ht="25.5" customHeight="1" x14ac:dyDescent="0.25">
      <c r="A24" s="31">
        <v>1</v>
      </c>
      <c r="B24" s="76" t="s">
        <v>2</v>
      </c>
      <c r="C24" s="31" t="s">
        <v>25</v>
      </c>
      <c r="D24" s="31" t="s">
        <v>3</v>
      </c>
      <c r="E24" s="31" t="s">
        <v>126</v>
      </c>
    </row>
    <row r="25" spans="1:6" x14ac:dyDescent="0.25">
      <c r="A25" s="5" t="s">
        <v>4</v>
      </c>
      <c r="B25" s="78" t="s">
        <v>5</v>
      </c>
      <c r="C25" s="13"/>
      <c r="D25" s="6">
        <v>1449.96</v>
      </c>
      <c r="E25" s="22" t="s">
        <v>229</v>
      </c>
    </row>
    <row r="26" spans="1:6" x14ac:dyDescent="0.25">
      <c r="A26" s="5" t="s">
        <v>6</v>
      </c>
      <c r="B26" s="78" t="s">
        <v>7</v>
      </c>
      <c r="C26" s="13">
        <v>0.3</v>
      </c>
      <c r="D26" s="6">
        <f>D25*C26</f>
        <v>434.988</v>
      </c>
      <c r="E26" s="22" t="s">
        <v>232</v>
      </c>
    </row>
    <row r="27" spans="1:6" x14ac:dyDescent="0.25">
      <c r="A27" s="5" t="s">
        <v>8</v>
      </c>
      <c r="B27" s="78" t="s">
        <v>9</v>
      </c>
      <c r="C27" s="13"/>
      <c r="D27" s="6">
        <f>C27*$G$2</f>
        <v>0</v>
      </c>
      <c r="E27" s="22" t="s">
        <v>137</v>
      </c>
    </row>
    <row r="28" spans="1:6" x14ac:dyDescent="0.25">
      <c r="A28" s="5" t="s">
        <v>10</v>
      </c>
      <c r="B28" s="78" t="s">
        <v>11</v>
      </c>
      <c r="C28" s="13">
        <v>0.2</v>
      </c>
      <c r="D28" s="6">
        <f>(SUM(D25:D26)/220)*$C$28*7*15</f>
        <v>179.92685454545457</v>
      </c>
      <c r="E28" s="22" t="s">
        <v>231</v>
      </c>
    </row>
    <row r="29" spans="1:6" x14ac:dyDescent="0.25">
      <c r="A29" s="5" t="s">
        <v>12</v>
      </c>
      <c r="B29" s="78" t="s">
        <v>13</v>
      </c>
      <c r="C29" s="146">
        <f>60/52.5</f>
        <v>1.1428571428571428</v>
      </c>
      <c r="D29" s="6">
        <f>(SUM(D25:D26)/220)*7*$C$29</f>
        <v>68.543563636363643</v>
      </c>
      <c r="E29" s="22" t="s">
        <v>231</v>
      </c>
    </row>
    <row r="30" spans="1:6" x14ac:dyDescent="0.25">
      <c r="A30" s="5" t="s">
        <v>14</v>
      </c>
      <c r="B30" s="78" t="s">
        <v>149</v>
      </c>
      <c r="C30" s="13"/>
      <c r="D30" s="6"/>
      <c r="E30" s="54"/>
    </row>
    <row r="31" spans="1:6" x14ac:dyDescent="0.25">
      <c r="A31" s="180" t="s">
        <v>16</v>
      </c>
      <c r="B31" s="182"/>
      <c r="C31" s="10"/>
      <c r="D31" s="10">
        <f>SUM(D25:D30)</f>
        <v>2133.4184181818182</v>
      </c>
      <c r="E31" s="10"/>
    </row>
    <row r="34" spans="1:5" x14ac:dyDescent="0.25">
      <c r="A34" s="178" t="s">
        <v>17</v>
      </c>
      <c r="B34" s="178"/>
      <c r="C34" s="178"/>
      <c r="D34" s="178"/>
      <c r="E34" s="178"/>
    </row>
    <row r="35" spans="1:5" x14ac:dyDescent="0.25">
      <c r="A35" s="2"/>
    </row>
    <row r="36" spans="1:5" x14ac:dyDescent="0.25">
      <c r="A36" s="178" t="s">
        <v>18</v>
      </c>
      <c r="B36" s="178"/>
      <c r="C36" s="178"/>
      <c r="D36" s="178"/>
      <c r="E36" s="178"/>
    </row>
    <row r="38" spans="1:5" x14ac:dyDescent="0.25">
      <c r="A38" s="31" t="s">
        <v>19</v>
      </c>
      <c r="B38" s="31" t="s">
        <v>20</v>
      </c>
      <c r="C38" s="31" t="s">
        <v>25</v>
      </c>
      <c r="D38" s="31" t="s">
        <v>3</v>
      </c>
      <c r="E38" s="31" t="s">
        <v>126</v>
      </c>
    </row>
    <row r="39" spans="1:5" x14ac:dyDescent="0.25">
      <c r="A39" s="5" t="s">
        <v>4</v>
      </c>
      <c r="B39" s="7" t="s">
        <v>21</v>
      </c>
      <c r="C39" s="13">
        <f>1/12</f>
        <v>8.3333333333333329E-2</v>
      </c>
      <c r="D39" s="6">
        <f>$D$31*C39</f>
        <v>177.78486818181818</v>
      </c>
      <c r="E39" s="22" t="s">
        <v>127</v>
      </c>
    </row>
    <row r="40" spans="1:5" x14ac:dyDescent="0.25">
      <c r="A40" s="5" t="s">
        <v>6</v>
      </c>
      <c r="B40" s="7" t="s">
        <v>52</v>
      </c>
      <c r="C40" s="13">
        <f>1/12</f>
        <v>8.3333333333333329E-2</v>
      </c>
      <c r="D40" s="6">
        <f>$D$31*C40</f>
        <v>177.78486818181818</v>
      </c>
      <c r="E40" s="22" t="s">
        <v>150</v>
      </c>
    </row>
    <row r="41" spans="1:5" x14ac:dyDescent="0.25">
      <c r="A41" s="5" t="s">
        <v>8</v>
      </c>
      <c r="B41" s="7" t="s">
        <v>86</v>
      </c>
      <c r="C41" s="13">
        <f>1/12/3</f>
        <v>2.7777777777777776E-2</v>
      </c>
      <c r="D41" s="6">
        <f>$D$31*C41</f>
        <v>59.261622727272723</v>
      </c>
      <c r="E41" s="22" t="s">
        <v>140</v>
      </c>
    </row>
    <row r="42" spans="1:5" x14ac:dyDescent="0.25">
      <c r="A42" s="180" t="s">
        <v>16</v>
      </c>
      <c r="B42" s="182"/>
      <c r="C42" s="10"/>
      <c r="D42" s="10">
        <f>SUM(D39:D41)</f>
        <v>414.83135909090907</v>
      </c>
      <c r="E42" s="22"/>
    </row>
    <row r="45" spans="1:5" x14ac:dyDescent="0.25">
      <c r="A45" s="178" t="s">
        <v>22</v>
      </c>
      <c r="B45" s="178"/>
      <c r="C45" s="178"/>
      <c r="D45" s="178"/>
      <c r="E45" s="178"/>
    </row>
    <row r="47" spans="1:5" x14ac:dyDescent="0.25">
      <c r="A47" s="31" t="s">
        <v>23</v>
      </c>
      <c r="B47" s="31" t="s">
        <v>24</v>
      </c>
      <c r="C47" s="31" t="s">
        <v>25</v>
      </c>
      <c r="D47" s="31" t="s">
        <v>3</v>
      </c>
      <c r="E47" s="31" t="s">
        <v>126</v>
      </c>
    </row>
    <row r="48" spans="1:5" ht="25.5" x14ac:dyDescent="0.25">
      <c r="A48" s="5" t="s">
        <v>4</v>
      </c>
      <c r="B48" s="7" t="s">
        <v>26</v>
      </c>
      <c r="C48" s="8">
        <v>0.2</v>
      </c>
      <c r="D48" s="6">
        <f>($D$31+$D$42)*C48</f>
        <v>509.64995545454553</v>
      </c>
      <c r="E48" s="7" t="s">
        <v>128</v>
      </c>
    </row>
    <row r="49" spans="1:5" ht="25.5" x14ac:dyDescent="0.25">
      <c r="A49" s="5" t="s">
        <v>6</v>
      </c>
      <c r="B49" s="7" t="s">
        <v>27</v>
      </c>
      <c r="C49" s="8">
        <f>IF(Informações!$B$4="Simples Nacional",0,2.5%)</f>
        <v>2.5000000000000001E-2</v>
      </c>
      <c r="D49" s="6">
        <f t="shared" ref="D49:D55" si="0">($D$31+$D$42)*C49</f>
        <v>63.706244431818192</v>
      </c>
      <c r="E49" s="7" t="s">
        <v>129</v>
      </c>
    </row>
    <row r="50" spans="1:5" x14ac:dyDescent="0.25">
      <c r="A50" s="5" t="s">
        <v>8</v>
      </c>
      <c r="B50" s="7" t="s">
        <v>131</v>
      </c>
      <c r="C50" s="144">
        <v>0.06</v>
      </c>
      <c r="D50" s="6">
        <f t="shared" si="0"/>
        <v>152.89498663636365</v>
      </c>
      <c r="E50" s="7" t="s">
        <v>130</v>
      </c>
    </row>
    <row r="51" spans="1:5" x14ac:dyDescent="0.25">
      <c r="A51" s="5" t="s">
        <v>10</v>
      </c>
      <c r="B51" s="7" t="s">
        <v>28</v>
      </c>
      <c r="C51" s="8">
        <f>IF(Informações!$B$4="Simples Nacional",0,1.5%)</f>
        <v>1.4999999999999999E-2</v>
      </c>
      <c r="D51" s="6">
        <f t="shared" si="0"/>
        <v>38.223746659090914</v>
      </c>
      <c r="E51" s="7" t="s">
        <v>132</v>
      </c>
    </row>
    <row r="52" spans="1:5" ht="38.25" x14ac:dyDescent="0.25">
      <c r="A52" s="5" t="s">
        <v>12</v>
      </c>
      <c r="B52" s="7" t="s">
        <v>29</v>
      </c>
      <c r="C52" s="8">
        <f>IF(Informações!$B$4="Simples Nacional",0,1%)</f>
        <v>0.01</v>
      </c>
      <c r="D52" s="6">
        <f t="shared" si="0"/>
        <v>25.482497772727275</v>
      </c>
      <c r="E52" s="7" t="s">
        <v>133</v>
      </c>
    </row>
    <row r="53" spans="1:5" x14ac:dyDescent="0.25">
      <c r="A53" s="5" t="s">
        <v>30</v>
      </c>
      <c r="B53" s="7" t="s">
        <v>31</v>
      </c>
      <c r="C53" s="8">
        <f>IF(Informações!$B$4="Simples Nacional",0,0.6%)</f>
        <v>6.0000000000000001E-3</v>
      </c>
      <c r="D53" s="6">
        <f t="shared" si="0"/>
        <v>15.289498663636365</v>
      </c>
      <c r="E53" s="7" t="s">
        <v>134</v>
      </c>
    </row>
    <row r="54" spans="1:5" ht="25.5" x14ac:dyDescent="0.25">
      <c r="A54" s="5" t="s">
        <v>14</v>
      </c>
      <c r="B54" s="7" t="s">
        <v>32</v>
      </c>
      <c r="C54" s="8">
        <f>IF(Informações!$B$4="Simples Nacional",0,0.2%)</f>
        <v>2E-3</v>
      </c>
      <c r="D54" s="6">
        <f t="shared" si="0"/>
        <v>5.0964995545454546</v>
      </c>
      <c r="E54" s="7" t="s">
        <v>135</v>
      </c>
    </row>
    <row r="55" spans="1:5" x14ac:dyDescent="0.25">
      <c r="A55" s="5" t="s">
        <v>33</v>
      </c>
      <c r="B55" s="7" t="s">
        <v>34</v>
      </c>
      <c r="C55" s="8">
        <v>0.08</v>
      </c>
      <c r="D55" s="6">
        <f t="shared" si="0"/>
        <v>203.8599821818182</v>
      </c>
      <c r="E55" s="7"/>
    </row>
    <row r="56" spans="1:5" x14ac:dyDescent="0.25">
      <c r="A56" s="180" t="s">
        <v>35</v>
      </c>
      <c r="B56" s="182"/>
      <c r="C56" s="40">
        <f>SUM(C48:C55)</f>
        <v>0.39800000000000008</v>
      </c>
      <c r="D56" s="10">
        <f>SUM(D48:D55)</f>
        <v>1014.2034113545454</v>
      </c>
      <c r="E56" s="22"/>
    </row>
    <row r="59" spans="1:5" x14ac:dyDescent="0.25">
      <c r="A59" s="178" t="s">
        <v>36</v>
      </c>
      <c r="B59" s="178"/>
      <c r="C59" s="178"/>
      <c r="D59" s="178"/>
      <c r="E59" s="178"/>
    </row>
    <row r="61" spans="1:5" x14ac:dyDescent="0.25">
      <c r="A61" s="31" t="s">
        <v>37</v>
      </c>
      <c r="B61" s="180" t="s">
        <v>38</v>
      </c>
      <c r="C61" s="182"/>
      <c r="D61" s="31" t="s">
        <v>3</v>
      </c>
      <c r="E61" s="31" t="s">
        <v>126</v>
      </c>
    </row>
    <row r="62" spans="1:5" ht="51.75" x14ac:dyDescent="0.25">
      <c r="A62" s="5" t="s">
        <v>4</v>
      </c>
      <c r="B62" s="183" t="s">
        <v>117</v>
      </c>
      <c r="C62" s="184"/>
      <c r="D62" s="6">
        <f>IF(VLOOKUP(B62,Beneficios!$A$1:$F$8,1,FALSE)='Vigilante Noturno - Diária Rond'!B62,VLOOKUP(B62,Beneficios!$A$1:$F$8,6,FALSE))</f>
        <v>36.00239999999998</v>
      </c>
      <c r="E62" s="42" t="s">
        <v>136</v>
      </c>
    </row>
    <row r="63" spans="1:5" x14ac:dyDescent="0.25">
      <c r="A63" s="5" t="s">
        <v>6</v>
      </c>
      <c r="B63" s="183" t="s">
        <v>39</v>
      </c>
      <c r="C63" s="184">
        <f>22*16-(22*16)*20%</f>
        <v>281.60000000000002</v>
      </c>
      <c r="D63" s="6">
        <f>IF(VLOOKUP(B63,Beneficios!$A$1:$F$8,1,FALSE)='Vigilante Diurno'!B63,VLOOKUP(B63,Beneficios!$A$1:$F$8,6,FALSE))</f>
        <v>340.01099999999997</v>
      </c>
      <c r="E63" s="22" t="s">
        <v>235</v>
      </c>
    </row>
    <row r="64" spans="1:5" x14ac:dyDescent="0.25">
      <c r="A64" s="5" t="s">
        <v>8</v>
      </c>
      <c r="B64" s="183" t="s">
        <v>236</v>
      </c>
      <c r="C64" s="184">
        <f>120</f>
        <v>120</v>
      </c>
      <c r="D64" s="6">
        <f>IF(VLOOKUP(B64,Beneficios!$A$1:$F$8,1,FALSE)='Vigilante Diurno'!B64,VLOOKUP(B64,Beneficios!$A$1:$F$8,6,FALSE))</f>
        <v>28.912499999999998</v>
      </c>
      <c r="E64" s="22" t="s">
        <v>237</v>
      </c>
    </row>
    <row r="65" spans="1:5" x14ac:dyDescent="0.25">
      <c r="A65" s="5" t="s">
        <v>10</v>
      </c>
      <c r="B65" s="183" t="s">
        <v>233</v>
      </c>
      <c r="C65" s="184"/>
      <c r="D65" s="6">
        <f>IF(VLOOKUP(B65,Beneficios!$A$1:$F$8,1,FALSE)='Vigilante Diurno'!B65,VLOOKUP(B65,Beneficios!$A$1:$F$8,6,FALSE))</f>
        <v>104.65</v>
      </c>
      <c r="E65" s="22" t="s">
        <v>234</v>
      </c>
    </row>
    <row r="66" spans="1:5" x14ac:dyDescent="0.25">
      <c r="A66" s="5" t="s">
        <v>12</v>
      </c>
      <c r="B66" s="183" t="s">
        <v>238</v>
      </c>
      <c r="C66" s="184"/>
      <c r="D66" s="6">
        <v>45</v>
      </c>
      <c r="E66" s="22" t="s">
        <v>239</v>
      </c>
    </row>
    <row r="67" spans="1:5" x14ac:dyDescent="0.25">
      <c r="A67" s="5" t="s">
        <v>12</v>
      </c>
      <c r="B67" s="183" t="s">
        <v>240</v>
      </c>
      <c r="C67" s="184"/>
      <c r="D67" s="6">
        <f>5%*$C$17</f>
        <v>72.498000000000005</v>
      </c>
      <c r="E67" s="22" t="s">
        <v>241</v>
      </c>
    </row>
    <row r="68" spans="1:5" x14ac:dyDescent="0.25">
      <c r="A68" s="5" t="s">
        <v>30</v>
      </c>
      <c r="B68" s="183" t="s">
        <v>242</v>
      </c>
      <c r="C68" s="184"/>
      <c r="D68" s="6">
        <v>6</v>
      </c>
      <c r="E68" s="22" t="s">
        <v>243</v>
      </c>
    </row>
    <row r="69" spans="1:5" x14ac:dyDescent="0.25">
      <c r="A69" s="180" t="s">
        <v>16</v>
      </c>
      <c r="B69" s="181"/>
      <c r="C69" s="182"/>
      <c r="D69" s="10">
        <f>SUM(D62:D68)</f>
        <v>633.07389999999998</v>
      </c>
      <c r="E69" s="22"/>
    </row>
    <row r="72" spans="1:5" x14ac:dyDescent="0.25">
      <c r="A72" s="178" t="s">
        <v>40</v>
      </c>
      <c r="B72" s="178"/>
      <c r="C72" s="178"/>
      <c r="D72" s="178"/>
      <c r="E72" s="178"/>
    </row>
    <row r="74" spans="1:5" x14ac:dyDescent="0.25">
      <c r="A74" s="31">
        <v>2</v>
      </c>
      <c r="B74" s="76" t="s">
        <v>41</v>
      </c>
      <c r="C74" s="77"/>
      <c r="D74" s="31" t="s">
        <v>3</v>
      </c>
      <c r="E74" s="31" t="s">
        <v>90</v>
      </c>
    </row>
    <row r="75" spans="1:5" x14ac:dyDescent="0.25">
      <c r="A75" s="5" t="s">
        <v>19</v>
      </c>
      <c r="B75" s="78" t="s">
        <v>20</v>
      </c>
      <c r="C75" s="79"/>
      <c r="D75" s="6">
        <f>D42</f>
        <v>414.83135909090907</v>
      </c>
      <c r="E75" s="22"/>
    </row>
    <row r="76" spans="1:5" x14ac:dyDescent="0.25">
      <c r="A76" s="5" t="s">
        <v>23</v>
      </c>
      <c r="B76" s="78" t="s">
        <v>24</v>
      </c>
      <c r="C76" s="79"/>
      <c r="D76" s="6">
        <f>D56</f>
        <v>1014.2034113545454</v>
      </c>
      <c r="E76" s="22"/>
    </row>
    <row r="77" spans="1:5" x14ac:dyDescent="0.25">
      <c r="A77" s="5" t="s">
        <v>37</v>
      </c>
      <c r="B77" s="78" t="s">
        <v>38</v>
      </c>
      <c r="C77" s="79"/>
      <c r="D77" s="6">
        <f>D69</f>
        <v>633.07389999999998</v>
      </c>
      <c r="E77" s="22"/>
    </row>
    <row r="78" spans="1:5" x14ac:dyDescent="0.25">
      <c r="A78" s="180" t="s">
        <v>16</v>
      </c>
      <c r="B78" s="181"/>
      <c r="C78" s="182"/>
      <c r="D78" s="10">
        <f>SUM(D75:D77)</f>
        <v>2062.1086704454547</v>
      </c>
      <c r="E78" s="22"/>
    </row>
    <row r="79" spans="1:5" x14ac:dyDescent="0.25">
      <c r="A79" s="3"/>
    </row>
    <row r="81" spans="1:5" x14ac:dyDescent="0.25">
      <c r="A81" s="178" t="s">
        <v>42</v>
      </c>
      <c r="B81" s="178"/>
      <c r="C81" s="178"/>
      <c r="D81" s="178"/>
      <c r="E81" s="178"/>
    </row>
    <row r="83" spans="1:5" x14ac:dyDescent="0.25">
      <c r="A83" s="31">
        <v>3</v>
      </c>
      <c r="B83" s="31" t="s">
        <v>43</v>
      </c>
      <c r="C83" s="31" t="s">
        <v>25</v>
      </c>
      <c r="D83" s="31" t="s">
        <v>3</v>
      </c>
      <c r="E83" s="31" t="s">
        <v>126</v>
      </c>
    </row>
    <row r="84" spans="1:5" x14ac:dyDescent="0.25">
      <c r="A84" s="5" t="s">
        <v>4</v>
      </c>
      <c r="B84" s="9" t="s">
        <v>44</v>
      </c>
      <c r="C84" s="17">
        <f>1/12*5%</f>
        <v>4.1666666666666666E-3</v>
      </c>
      <c r="D84" s="6">
        <f>($D$31+$D$75)*C84</f>
        <v>10.617707405303031</v>
      </c>
      <c r="E84" s="7" t="s">
        <v>138</v>
      </c>
    </row>
    <row r="85" spans="1:5" x14ac:dyDescent="0.25">
      <c r="A85" s="5" t="s">
        <v>6</v>
      </c>
      <c r="B85" s="9" t="s">
        <v>45</v>
      </c>
      <c r="C85" s="18">
        <f>8%*C84</f>
        <v>3.3333333333333332E-4</v>
      </c>
      <c r="D85" s="6">
        <f t="shared" ref="D85:D88" si="1">($D$31+$D$75)*C85</f>
        <v>0.8494165924242425</v>
      </c>
      <c r="E85" s="42"/>
    </row>
    <row r="86" spans="1:5" ht="25.5" x14ac:dyDescent="0.25">
      <c r="A86" s="5" t="s">
        <v>8</v>
      </c>
      <c r="B86" s="9" t="s">
        <v>116</v>
      </c>
      <c r="C86" s="74">
        <v>0.04</v>
      </c>
      <c r="D86" s="6">
        <f t="shared" si="1"/>
        <v>101.9299910909091</v>
      </c>
      <c r="E86" s="7" t="s">
        <v>139</v>
      </c>
    </row>
    <row r="87" spans="1:5" x14ac:dyDescent="0.25">
      <c r="A87" s="5" t="s">
        <v>10</v>
      </c>
      <c r="B87" s="9" t="s">
        <v>46</v>
      </c>
      <c r="C87" s="17">
        <f>7/30/12</f>
        <v>1.9444444444444445E-2</v>
      </c>
      <c r="D87" s="6">
        <f t="shared" si="1"/>
        <v>49.549301224747481</v>
      </c>
      <c r="E87" s="7" t="s">
        <v>141</v>
      </c>
    </row>
    <row r="88" spans="1:5" ht="25.5" x14ac:dyDescent="0.25">
      <c r="A88" s="5" t="s">
        <v>12</v>
      </c>
      <c r="B88" s="9" t="s">
        <v>47</v>
      </c>
      <c r="C88" s="17">
        <f>C56*C87</f>
        <v>7.7388888888888906E-3</v>
      </c>
      <c r="D88" s="6">
        <f t="shared" si="1"/>
        <v>19.7206218874495</v>
      </c>
      <c r="E88" s="42"/>
    </row>
    <row r="89" spans="1:5" ht="16.5" customHeight="1" x14ac:dyDescent="0.25">
      <c r="A89" s="5" t="s">
        <v>30</v>
      </c>
      <c r="B89" s="9"/>
      <c r="C89" s="17"/>
      <c r="D89" s="6">
        <f t="shared" ref="D89" si="2">($D$31+$D$42)*C89</f>
        <v>0</v>
      </c>
      <c r="E89" s="42"/>
    </row>
    <row r="90" spans="1:5" x14ac:dyDescent="0.25">
      <c r="A90" s="31" t="s">
        <v>16</v>
      </c>
      <c r="B90" s="31"/>
      <c r="C90" s="10"/>
      <c r="D90" s="10">
        <f>SUM(D84:D89)</f>
        <v>182.66703820083336</v>
      </c>
      <c r="E90" s="42"/>
    </row>
    <row r="93" spans="1:5" x14ac:dyDescent="0.25">
      <c r="A93" s="178" t="s">
        <v>48</v>
      </c>
      <c r="B93" s="178"/>
      <c r="C93" s="178"/>
      <c r="D93" s="178"/>
      <c r="E93" s="178"/>
    </row>
    <row r="95" spans="1:5" x14ac:dyDescent="0.25">
      <c r="A95" s="178" t="s">
        <v>49</v>
      </c>
      <c r="B95" s="178"/>
      <c r="C95" s="178"/>
      <c r="D95" s="178"/>
      <c r="E95" s="178"/>
    </row>
    <row r="96" spans="1:5" x14ac:dyDescent="0.25">
      <c r="A96" s="2"/>
    </row>
    <row r="97" spans="1:5" x14ac:dyDescent="0.25">
      <c r="A97" s="31" t="s">
        <v>50</v>
      </c>
      <c r="B97" s="31" t="s">
        <v>51</v>
      </c>
      <c r="C97" s="31" t="s">
        <v>25</v>
      </c>
      <c r="D97" s="31" t="s">
        <v>3</v>
      </c>
      <c r="E97" s="31" t="s">
        <v>126</v>
      </c>
    </row>
    <row r="98" spans="1:5" x14ac:dyDescent="0.25">
      <c r="A98" s="5" t="s">
        <v>4</v>
      </c>
      <c r="B98" s="7" t="s">
        <v>52</v>
      </c>
      <c r="C98" s="16">
        <f>IF($C$40&gt;0,0,1/12)</f>
        <v>0</v>
      </c>
      <c r="D98" s="6">
        <f t="shared" ref="D98:D103" si="3">($D$31+$D$78+$D$90)*C98</f>
        <v>0</v>
      </c>
      <c r="E98" s="22" t="s">
        <v>140</v>
      </c>
    </row>
    <row r="99" spans="1:5" x14ac:dyDescent="0.25">
      <c r="A99" s="5" t="s">
        <v>6</v>
      </c>
      <c r="B99" s="7" t="s">
        <v>51</v>
      </c>
      <c r="C99" s="16">
        <f>(100%/30)*1.4947/12</f>
        <v>4.1519444444444442E-3</v>
      </c>
      <c r="D99" s="6">
        <f t="shared" si="3"/>
        <v>18.178018781583251</v>
      </c>
      <c r="E99" s="7" t="s">
        <v>142</v>
      </c>
    </row>
    <row r="100" spans="1:5" x14ac:dyDescent="0.25">
      <c r="A100" s="5" t="s">
        <v>8</v>
      </c>
      <c r="B100" s="7" t="s">
        <v>53</v>
      </c>
      <c r="C100" s="16">
        <f>5/360*1.416%</f>
        <v>1.9666666666666663E-4</v>
      </c>
      <c r="D100" s="6">
        <f t="shared" si="3"/>
        <v>0.86104484494286071</v>
      </c>
      <c r="E100" s="7" t="s">
        <v>143</v>
      </c>
    </row>
    <row r="101" spans="1:5" x14ac:dyDescent="0.25">
      <c r="A101" s="5" t="s">
        <v>10</v>
      </c>
      <c r="B101" s="7" t="s">
        <v>54</v>
      </c>
      <c r="C101" s="16">
        <f>(100%/30)*15/12*(582507/69481633)</f>
        <v>3.4931713536439187E-4</v>
      </c>
      <c r="D101" s="6">
        <f t="shared" si="3"/>
        <v>1.529378230452799</v>
      </c>
      <c r="E101" s="52" t="s">
        <v>144</v>
      </c>
    </row>
    <row r="102" spans="1:5" x14ac:dyDescent="0.25">
      <c r="A102" s="5" t="s">
        <v>12</v>
      </c>
      <c r="B102" s="7" t="s">
        <v>55</v>
      </c>
      <c r="C102" s="16">
        <f>4/12*(8.33%+8.33%+2.78%)*1.416%</f>
        <v>9.175679999999999E-4</v>
      </c>
      <c r="D102" s="6">
        <f t="shared" si="3"/>
        <v>4.017290828565411</v>
      </c>
      <c r="E102" s="42" t="s">
        <v>145</v>
      </c>
    </row>
    <row r="103" spans="1:5" x14ac:dyDescent="0.25">
      <c r="A103" s="5" t="s">
        <v>30</v>
      </c>
      <c r="B103" s="7" t="s">
        <v>181</v>
      </c>
      <c r="C103" s="16">
        <f>(1462463/54796761)/12</f>
        <v>2.2240715407734896E-3</v>
      </c>
      <c r="D103" s="6">
        <f t="shared" si="3"/>
        <v>9.7374169574600291</v>
      </c>
      <c r="E103" s="42"/>
    </row>
    <row r="104" spans="1:5" x14ac:dyDescent="0.25">
      <c r="A104" s="180" t="s">
        <v>35</v>
      </c>
      <c r="B104" s="181"/>
      <c r="C104" s="182"/>
      <c r="D104" s="10">
        <f>SUM(D98:D103)</f>
        <v>34.323149643004349</v>
      </c>
      <c r="E104" s="22"/>
    </row>
    <row r="107" spans="1:5" x14ac:dyDescent="0.25">
      <c r="A107" s="178" t="s">
        <v>56</v>
      </c>
      <c r="B107" s="178"/>
      <c r="C107" s="178"/>
      <c r="D107" s="178"/>
      <c r="E107" s="178"/>
    </row>
    <row r="108" spans="1:5" x14ac:dyDescent="0.25">
      <c r="A108" s="2"/>
    </row>
    <row r="109" spans="1:5" x14ac:dyDescent="0.25">
      <c r="A109" s="31" t="s">
        <v>57</v>
      </c>
      <c r="B109" s="180" t="s">
        <v>58</v>
      </c>
      <c r="C109" s="182"/>
      <c r="D109" s="31" t="s">
        <v>3</v>
      </c>
      <c r="E109" s="31" t="s">
        <v>126</v>
      </c>
    </row>
    <row r="110" spans="1:5" x14ac:dyDescent="0.25">
      <c r="A110" s="5" t="s">
        <v>4</v>
      </c>
      <c r="B110" s="183" t="s">
        <v>151</v>
      </c>
      <c r="C110" s="184"/>
      <c r="D110" s="6">
        <f>(D31-$D$28-$D$29)/220*0.5*1.5*15</f>
        <v>96.389386363636376</v>
      </c>
      <c r="E110" s="22" t="s">
        <v>230</v>
      </c>
    </row>
    <row r="111" spans="1:5" x14ac:dyDescent="0.25">
      <c r="A111" s="180" t="s">
        <v>16</v>
      </c>
      <c r="B111" s="181"/>
      <c r="C111" s="182"/>
      <c r="D111" s="6">
        <f>D110</f>
        <v>96.389386363636376</v>
      </c>
      <c r="E111" s="22"/>
    </row>
    <row r="114" spans="1:5" x14ac:dyDescent="0.25">
      <c r="A114" s="178" t="s">
        <v>59</v>
      </c>
      <c r="B114" s="178"/>
      <c r="C114" s="178"/>
      <c r="D114" s="178"/>
      <c r="E114" s="178"/>
    </row>
    <row r="115" spans="1:5" x14ac:dyDescent="0.25">
      <c r="A115" s="2"/>
    </row>
    <row r="116" spans="1:5" x14ac:dyDescent="0.25">
      <c r="A116" s="31">
        <v>4</v>
      </c>
      <c r="B116" s="76" t="s">
        <v>60</v>
      </c>
      <c r="C116" s="77"/>
      <c r="D116" s="31" t="s">
        <v>3</v>
      </c>
      <c r="E116" s="31" t="s">
        <v>90</v>
      </c>
    </row>
    <row r="117" spans="1:5" x14ac:dyDescent="0.25">
      <c r="A117" s="5" t="s">
        <v>50</v>
      </c>
      <c r="B117" s="78" t="s">
        <v>51</v>
      </c>
      <c r="C117" s="79"/>
      <c r="D117" s="6">
        <f>D104</f>
        <v>34.323149643004349</v>
      </c>
      <c r="E117" s="22"/>
    </row>
    <row r="118" spans="1:5" x14ac:dyDescent="0.25">
      <c r="A118" s="5" t="s">
        <v>57</v>
      </c>
      <c r="B118" s="78" t="s">
        <v>58</v>
      </c>
      <c r="C118" s="79"/>
      <c r="D118" s="6">
        <f>D111</f>
        <v>96.389386363636376</v>
      </c>
      <c r="E118" s="22"/>
    </row>
    <row r="119" spans="1:5" x14ac:dyDescent="0.25">
      <c r="A119" s="180" t="s">
        <v>16</v>
      </c>
      <c r="B119" s="181"/>
      <c r="C119" s="182"/>
      <c r="D119" s="10">
        <f>SUM(D117:D118)</f>
        <v>130.71253600664073</v>
      </c>
      <c r="E119" s="22"/>
    </row>
    <row r="122" spans="1:5" x14ac:dyDescent="0.25">
      <c r="A122" s="178" t="s">
        <v>61</v>
      </c>
      <c r="B122" s="178"/>
      <c r="C122" s="178"/>
      <c r="D122" s="178"/>
      <c r="E122" s="178"/>
    </row>
    <row r="124" spans="1:5" x14ac:dyDescent="0.25">
      <c r="A124" s="31">
        <v>5</v>
      </c>
      <c r="B124" s="76" t="s">
        <v>62</v>
      </c>
      <c r="C124" s="77"/>
      <c r="D124" s="31" t="s">
        <v>3</v>
      </c>
      <c r="E124" s="31" t="s">
        <v>126</v>
      </c>
    </row>
    <row r="125" spans="1:5" x14ac:dyDescent="0.25">
      <c r="A125" s="5" t="s">
        <v>4</v>
      </c>
      <c r="B125" s="78" t="s">
        <v>63</v>
      </c>
      <c r="C125" s="79"/>
      <c r="D125" s="6">
        <f>SUM(Uniformes!F:F)</f>
        <v>287.56833333333333</v>
      </c>
      <c r="E125" s="42"/>
    </row>
    <row r="126" spans="1:5" x14ac:dyDescent="0.25">
      <c r="A126" s="5" t="s">
        <v>6</v>
      </c>
      <c r="B126" s="78" t="s">
        <v>64</v>
      </c>
      <c r="C126" s="79"/>
      <c r="D126" s="6">
        <f>SUM(Materiais!F:F)</f>
        <v>5.27</v>
      </c>
      <c r="E126" s="42"/>
    </row>
    <row r="127" spans="1:5" x14ac:dyDescent="0.25">
      <c r="A127" s="5" t="s">
        <v>8</v>
      </c>
      <c r="B127" s="78" t="s">
        <v>65</v>
      </c>
      <c r="C127" s="79"/>
      <c r="D127" s="6">
        <f>IFERROR(SUM(Equipamentos!I:I)/SUM(Resumo!E5:E8),0)</f>
        <v>22.361166666666662</v>
      </c>
      <c r="E127" s="42"/>
    </row>
    <row r="128" spans="1:5" x14ac:dyDescent="0.25">
      <c r="A128" s="5" t="s">
        <v>10</v>
      </c>
      <c r="B128" s="78" t="s">
        <v>15</v>
      </c>
      <c r="C128" s="79"/>
      <c r="D128" s="6"/>
      <c r="E128" s="22"/>
    </row>
    <row r="129" spans="1:5" x14ac:dyDescent="0.25">
      <c r="A129" s="180" t="s">
        <v>35</v>
      </c>
      <c r="B129" s="181"/>
      <c r="C129" s="182"/>
      <c r="D129" s="10">
        <f>SUM(D125:D128)</f>
        <v>315.19949999999994</v>
      </c>
      <c r="E129" s="22"/>
    </row>
    <row r="132" spans="1:5" x14ac:dyDescent="0.25">
      <c r="A132" s="178" t="s">
        <v>66</v>
      </c>
      <c r="B132" s="178"/>
      <c r="C132" s="178"/>
      <c r="D132" s="178"/>
      <c r="E132" s="178"/>
    </row>
    <row r="134" spans="1:5" x14ac:dyDescent="0.25">
      <c r="A134" s="31">
        <v>6</v>
      </c>
      <c r="B134" s="11" t="s">
        <v>67</v>
      </c>
      <c r="C134" s="31" t="s">
        <v>25</v>
      </c>
      <c r="D134" s="31" t="s">
        <v>3</v>
      </c>
      <c r="E134" s="31" t="s">
        <v>126</v>
      </c>
    </row>
    <row r="135" spans="1:5" x14ac:dyDescent="0.25">
      <c r="A135" s="5" t="s">
        <v>4</v>
      </c>
      <c r="B135" s="7" t="s">
        <v>68</v>
      </c>
      <c r="C135" s="143">
        <v>0.05</v>
      </c>
      <c r="D135" s="6">
        <f>(D31+D78+D90+D119+D129)*C135</f>
        <v>241.20530814173736</v>
      </c>
      <c r="E135" s="42"/>
    </row>
    <row r="136" spans="1:5" x14ac:dyDescent="0.25">
      <c r="A136" s="5" t="s">
        <v>6</v>
      </c>
      <c r="B136" s="7" t="s">
        <v>69</v>
      </c>
      <c r="C136" s="143">
        <v>0.1</v>
      </c>
      <c r="D136" s="6">
        <f>(D31+D78+D90+D119+D129+D135)*C136</f>
        <v>506.53114709764844</v>
      </c>
      <c r="E136" s="42"/>
    </row>
    <row r="137" spans="1:5" x14ac:dyDescent="0.25">
      <c r="A137" s="5" t="s">
        <v>8</v>
      </c>
      <c r="B137" s="7" t="s">
        <v>115</v>
      </c>
      <c r="C137" s="13">
        <f>C139+C140+C143</f>
        <v>0.14250000000000002</v>
      </c>
      <c r="D137" s="6">
        <f>SUM(D138:D143)</f>
        <v>925.93302982573061</v>
      </c>
      <c r="E137" s="42"/>
    </row>
    <row r="138" spans="1:5" ht="15.75" hidden="1" customHeight="1" x14ac:dyDescent="0.25">
      <c r="A138" s="5"/>
      <c r="B138" s="7" t="s">
        <v>70</v>
      </c>
      <c r="C138" s="12"/>
      <c r="D138" s="6"/>
      <c r="E138" s="42"/>
    </row>
    <row r="139" spans="1:5" x14ac:dyDescent="0.25">
      <c r="A139" s="5"/>
      <c r="B139" s="19" t="s">
        <v>87</v>
      </c>
      <c r="C139" s="13">
        <f>IF(Informações!$B$4="Simples Nacional",'Tributos - Simples'!$B$6/100,IF(Informações!$B$4="Lucro Presumido",0.65%,IF(AND(Informações!$B$4="Lucro Real",'Tributos - Real'!$F$19=0%),1.65%,'Tributos - Real'!$F$19)))</f>
        <v>1.6500000000000001E-2</v>
      </c>
      <c r="D139" s="6">
        <f>(($D$31+$D$78+$D$90+$D$119+$D$129+$D$135+$D$136)/(1-$C$137))*C139</f>
        <v>107.21329819034776</v>
      </c>
      <c r="E139" s="42"/>
    </row>
    <row r="140" spans="1:5" x14ac:dyDescent="0.25">
      <c r="A140" s="5"/>
      <c r="B140" s="19" t="s">
        <v>88</v>
      </c>
      <c r="C140" s="13">
        <f>IF(Informações!$B$4="Simples Nacional",'Tributos - Simples'!$B$7/100,IF(Informações!$B$4="Lucro Presumido",3%,IF(AND(Informações!$B$4="Lucro Real",'Tributos - Real'!$F$36=0%),7.6%,'Tributos - Real'!$F$36)))</f>
        <v>7.5999999999999998E-2</v>
      </c>
      <c r="D140" s="6">
        <f>(($D$31+$D$78+$D$90+$D$119+$D$129+$D$135+$D$136)/(1-$C$137))*C140</f>
        <v>493.8309492403896</v>
      </c>
      <c r="E140" s="42"/>
    </row>
    <row r="141" spans="1:5" ht="15.75" hidden="1" customHeight="1" x14ac:dyDescent="0.25">
      <c r="A141" s="5"/>
      <c r="B141" s="7" t="s">
        <v>71</v>
      </c>
      <c r="C141" s="12"/>
      <c r="D141" s="6">
        <f>(($D$31+$D$78+$D$90+$D$119+$D$129+$D$135+$D$136)/(1-$C$137))*C141</f>
        <v>0</v>
      </c>
      <c r="E141" s="42"/>
    </row>
    <row r="142" spans="1:5" hidden="1" x14ac:dyDescent="0.25">
      <c r="A142" s="5"/>
      <c r="B142" s="7" t="s">
        <v>72</v>
      </c>
      <c r="C142" s="12"/>
      <c r="D142" s="6">
        <f>(($D$31+$D$78+$D$90+$D$119+$D$129+$D$135+$D$136)/(1-$C$137))*C142</f>
        <v>0</v>
      </c>
      <c r="E142" s="42"/>
    </row>
    <row r="143" spans="1:5" x14ac:dyDescent="0.25">
      <c r="A143" s="5"/>
      <c r="B143" s="19" t="s">
        <v>89</v>
      </c>
      <c r="C143" s="13">
        <f>IF(Informações!$B$4="Simples Nacional",'Tributos - Simples'!$B$8/100,IF(Informações!$B$4="Lucro Presumido",Informações!$B$5,IF(Informações!$B$4="Lucro Real",Informações!$B$5)))</f>
        <v>0.05</v>
      </c>
      <c r="D143" s="6">
        <f>(($D$31+$D$78+$D$90+$D$119+$D$129+$D$135+$D$136)/(1-$C$137))*C143</f>
        <v>324.8887823949932</v>
      </c>
      <c r="E143" s="42"/>
    </row>
    <row r="144" spans="1:5" x14ac:dyDescent="0.25">
      <c r="A144" s="31" t="s">
        <v>35</v>
      </c>
      <c r="B144" s="31"/>
      <c r="C144" s="10"/>
      <c r="D144" s="10">
        <f>D135+D136+D137</f>
        <v>1673.6694850651165</v>
      </c>
      <c r="E144" s="22"/>
    </row>
    <row r="147" spans="1:5" x14ac:dyDescent="0.25">
      <c r="A147" s="178" t="s">
        <v>73</v>
      </c>
      <c r="B147" s="178"/>
      <c r="C147" s="178"/>
      <c r="D147" s="178"/>
      <c r="E147" s="178"/>
    </row>
    <row r="149" spans="1:5" x14ac:dyDescent="0.25">
      <c r="A149" s="31"/>
      <c r="B149" s="76" t="s">
        <v>74</v>
      </c>
      <c r="C149" s="77"/>
      <c r="D149" s="31" t="s">
        <v>3</v>
      </c>
      <c r="E149" s="31" t="s">
        <v>90</v>
      </c>
    </row>
    <row r="150" spans="1:5" x14ac:dyDescent="0.25">
      <c r="A150" s="5" t="s">
        <v>4</v>
      </c>
      <c r="B150" s="78" t="s">
        <v>1</v>
      </c>
      <c r="C150" s="79"/>
      <c r="D150" s="6">
        <f>D31</f>
        <v>2133.4184181818182</v>
      </c>
      <c r="E150" s="22"/>
    </row>
    <row r="151" spans="1:5" x14ac:dyDescent="0.25">
      <c r="A151" s="5" t="s">
        <v>6</v>
      </c>
      <c r="B151" s="78" t="s">
        <v>17</v>
      </c>
      <c r="C151" s="79"/>
      <c r="D151" s="6">
        <f>D78</f>
        <v>2062.1086704454547</v>
      </c>
      <c r="E151" s="22"/>
    </row>
    <row r="152" spans="1:5" x14ac:dyDescent="0.25">
      <c r="A152" s="5" t="s">
        <v>8</v>
      </c>
      <c r="B152" s="78" t="s">
        <v>42</v>
      </c>
      <c r="C152" s="79"/>
      <c r="D152" s="6">
        <f>D90</f>
        <v>182.66703820083336</v>
      </c>
      <c r="E152" s="22"/>
    </row>
    <row r="153" spans="1:5" x14ac:dyDescent="0.25">
      <c r="A153" s="5" t="s">
        <v>10</v>
      </c>
      <c r="B153" s="78" t="s">
        <v>48</v>
      </c>
      <c r="C153" s="38"/>
      <c r="D153" s="6">
        <f>D119</f>
        <v>130.71253600664073</v>
      </c>
      <c r="E153" s="22"/>
    </row>
    <row r="154" spans="1:5" x14ac:dyDescent="0.25">
      <c r="A154" s="5" t="s">
        <v>12</v>
      </c>
      <c r="B154" s="78" t="s">
        <v>61</v>
      </c>
      <c r="C154" s="38"/>
      <c r="D154" s="6">
        <f>D129</f>
        <v>315.19949999999994</v>
      </c>
      <c r="E154" s="22"/>
    </row>
    <row r="155" spans="1:5" ht="15.75" customHeight="1" x14ac:dyDescent="0.25">
      <c r="A155" s="180" t="s">
        <v>75</v>
      </c>
      <c r="B155" s="181"/>
      <c r="C155" s="182"/>
      <c r="D155" s="10">
        <f>SUM(D150:D154)</f>
        <v>4824.106162834747</v>
      </c>
      <c r="E155" s="22"/>
    </row>
    <row r="156" spans="1:5" x14ac:dyDescent="0.25">
      <c r="A156" s="23" t="s">
        <v>30</v>
      </c>
      <c r="B156" s="78" t="s">
        <v>76</v>
      </c>
      <c r="C156" s="38"/>
      <c r="D156" s="6">
        <f>D144</f>
        <v>1673.6694850651165</v>
      </c>
      <c r="E156" s="22"/>
    </row>
    <row r="157" spans="1:5" ht="15.75" customHeight="1" x14ac:dyDescent="0.25">
      <c r="A157" s="180" t="s">
        <v>77</v>
      </c>
      <c r="B157" s="181"/>
      <c r="C157" s="182"/>
      <c r="D157" s="10">
        <f>D155+D156</f>
        <v>6497.7756478998635</v>
      </c>
      <c r="E157" s="22"/>
    </row>
    <row r="158" spans="1:5" ht="15.75" customHeight="1" x14ac:dyDescent="0.25">
      <c r="A158" s="180" t="s">
        <v>273</v>
      </c>
      <c r="B158" s="181"/>
      <c r="C158" s="182"/>
      <c r="D158" s="10">
        <f>D157/15</f>
        <v>433.18504319332425</v>
      </c>
      <c r="E158" s="22"/>
    </row>
    <row r="159" spans="1:5" ht="15.75" customHeight="1" x14ac:dyDescent="0.25">
      <c r="A159" s="180" t="s">
        <v>84</v>
      </c>
      <c r="B159" s="181"/>
      <c r="C159" s="182"/>
      <c r="D159" s="10">
        <f>D158*24</f>
        <v>10396.441036639782</v>
      </c>
      <c r="E159" s="22"/>
    </row>
  </sheetData>
  <mergeCells count="54">
    <mergeCell ref="A159:C159"/>
    <mergeCell ref="B110:C110"/>
    <mergeCell ref="A111:C111"/>
    <mergeCell ref="A114:E114"/>
    <mergeCell ref="A119:C119"/>
    <mergeCell ref="A122:E122"/>
    <mergeCell ref="A129:C129"/>
    <mergeCell ref="A132:E132"/>
    <mergeCell ref="A147:E147"/>
    <mergeCell ref="A155:C155"/>
    <mergeCell ref="A157:C157"/>
    <mergeCell ref="A158:C158"/>
    <mergeCell ref="B109:C109"/>
    <mergeCell ref="B66:C66"/>
    <mergeCell ref="B67:C67"/>
    <mergeCell ref="B68:C68"/>
    <mergeCell ref="A69:C69"/>
    <mergeCell ref="A72:E72"/>
    <mergeCell ref="A78:C78"/>
    <mergeCell ref="A81:E81"/>
    <mergeCell ref="A93:E93"/>
    <mergeCell ref="A95:E95"/>
    <mergeCell ref="A104:C104"/>
    <mergeCell ref="A107:E107"/>
    <mergeCell ref="B65:C65"/>
    <mergeCell ref="A31:B31"/>
    <mergeCell ref="A34:E34"/>
    <mergeCell ref="A36:E36"/>
    <mergeCell ref="A42:B42"/>
    <mergeCell ref="A45:E45"/>
    <mergeCell ref="A56:B56"/>
    <mergeCell ref="A59:E59"/>
    <mergeCell ref="B61:C61"/>
    <mergeCell ref="B62:C62"/>
    <mergeCell ref="B63:C63"/>
    <mergeCell ref="B64:C64"/>
    <mergeCell ref="A22:E22"/>
    <mergeCell ref="A10:E10"/>
    <mergeCell ref="A11:B11"/>
    <mergeCell ref="A12:B13"/>
    <mergeCell ref="C12:C13"/>
    <mergeCell ref="D12:D13"/>
    <mergeCell ref="E12:E13"/>
    <mergeCell ref="C15:E15"/>
    <mergeCell ref="C16:E16"/>
    <mergeCell ref="C17:E17"/>
    <mergeCell ref="C18:E18"/>
    <mergeCell ref="C19:E19"/>
    <mergeCell ref="A9:D9"/>
    <mergeCell ref="A1:E1"/>
    <mergeCell ref="C5:D5"/>
    <mergeCell ref="C6:D6"/>
    <mergeCell ref="C7:D7"/>
    <mergeCell ref="C8:D8"/>
  </mergeCells>
  <dataValidations count="2">
    <dataValidation type="list" allowBlank="1" showInputMessage="1" showErrorMessage="1" sqref="G1">
      <formula1>$O$1:$O$2</formula1>
    </dataValidation>
    <dataValidation type="list" allowBlank="1" showInputMessage="1" showErrorMessage="1" sqref="G3">
      <formula1>$P$1:$P$3</formula1>
    </dataValidation>
  </dataValidations>
  <pageMargins left="0.51181102362204722" right="0.51181102362204722" top="0.78740157480314965" bottom="0.78740157480314965" header="0.31496062992125984" footer="0.31496062992125984"/>
  <pageSetup paperSize="9" scale="72" orientation="landscape" verticalDpi="300" r:id="rId1"/>
  <rowBreaks count="4" manualBreakCount="4">
    <brk id="33" max="6" man="1"/>
    <brk id="58" max="6" man="1"/>
    <brk id="92" max="6" man="1"/>
    <brk id="121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8</vt:i4>
      </vt:variant>
    </vt:vector>
  </HeadingPairs>
  <TitlesOfParts>
    <vt:vector size="24" baseType="lpstr">
      <vt:lpstr>Informações</vt:lpstr>
      <vt:lpstr>Resumo</vt:lpstr>
      <vt:lpstr>Vigilante Diurno</vt:lpstr>
      <vt:lpstr>Vigilante Diurno - Diária</vt:lpstr>
      <vt:lpstr>Vigilante Noturno</vt:lpstr>
      <vt:lpstr>Vigilante Noturno - Ronda</vt:lpstr>
      <vt:lpstr>Vigilante Diurno - Diária ronda</vt:lpstr>
      <vt:lpstr>Vigilante Noturno - Diária</vt:lpstr>
      <vt:lpstr>Vigilante Noturno - Diária Rond</vt:lpstr>
      <vt:lpstr>Beneficios</vt:lpstr>
      <vt:lpstr>Uniformes</vt:lpstr>
      <vt:lpstr>EPI's</vt:lpstr>
      <vt:lpstr>Equipamentos</vt:lpstr>
      <vt:lpstr>Materiais</vt:lpstr>
      <vt:lpstr>Tributos - Real</vt:lpstr>
      <vt:lpstr>Tributos - Simples</vt:lpstr>
      <vt:lpstr>'Tributos - Real'!Area_de_impressao</vt:lpstr>
      <vt:lpstr>'Vigilante Diurno'!Area_de_impressao</vt:lpstr>
      <vt:lpstr>'Vigilante Diurno - Diária'!Area_de_impressao</vt:lpstr>
      <vt:lpstr>'Vigilante Diurno - Diária ronda'!Area_de_impressao</vt:lpstr>
      <vt:lpstr>'Vigilante Noturno'!Area_de_impressao</vt:lpstr>
      <vt:lpstr>'Vigilante Noturno - Diária'!Area_de_impressao</vt:lpstr>
      <vt:lpstr>'Vigilante Noturno - Diária Rond'!Area_de_impressao</vt:lpstr>
      <vt:lpstr>'Vigilante Noturno - Ronda'!Area_de_impressao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Nathanne Antonia S. de C. Conceição</dc:creator>
  <cp:lastModifiedBy>SENARMT | Thayla Joana Schenberger</cp:lastModifiedBy>
  <cp:lastPrinted>2022-05-02T19:26:38Z</cp:lastPrinted>
  <dcterms:created xsi:type="dcterms:W3CDTF">2021-06-15T12:28:13Z</dcterms:created>
  <dcterms:modified xsi:type="dcterms:W3CDTF">2022-05-04T19:44:35Z</dcterms:modified>
</cp:coreProperties>
</file>