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yla.schenberger\Desktop\"/>
    </mc:Choice>
  </mc:AlternateContent>
  <bookViews>
    <workbookView xWindow="0" yWindow="0" windowWidth="28800" windowHeight="12300" tabRatio="852" activeTab="2"/>
  </bookViews>
  <sheets>
    <sheet name="Informações" sheetId="23" r:id="rId1"/>
    <sheet name="Servente de Limpeza" sheetId="1" r:id="rId2"/>
    <sheet name="Servente de Limpeza - Banheiro" sheetId="17" r:id="rId3"/>
    <sheet name="Servente de Limpeza - Diária" sheetId="20" state="hidden" r:id="rId4"/>
    <sheet name="Líder" sheetId="15" r:id="rId5"/>
    <sheet name="Copeira" sheetId="11" r:id="rId6"/>
    <sheet name="Jardineiro" sheetId="12" state="hidden" r:id="rId7"/>
    <sheet name="Jardineiro - Diária" sheetId="24" r:id="rId8"/>
    <sheet name="Aux. Jardim" sheetId="13" r:id="rId9"/>
    <sheet name="Resumo" sheetId="14" r:id="rId10"/>
    <sheet name="Beneficios" sheetId="9" r:id="rId11"/>
    <sheet name="Uniformes" sheetId="6" r:id="rId12"/>
    <sheet name="Equipamentos" sheetId="7" r:id="rId13"/>
    <sheet name="Utensílios" sheetId="19" r:id="rId14"/>
    <sheet name="Materiais" sheetId="8" r:id="rId15"/>
    <sheet name="EPIs" sheetId="10" r:id="rId16"/>
    <sheet name="Tributos - Real" sheetId="21" r:id="rId17"/>
    <sheet name="Tributos - Simples" sheetId="22" r:id="rId18"/>
  </sheets>
  <definedNames>
    <definedName name="_xlnm.Print_Area" localSheetId="8">'Aux. Jardim'!$A$1:$E$160</definedName>
    <definedName name="_xlnm.Print_Area" localSheetId="5">Copeira!$A$1:$E$168</definedName>
    <definedName name="_xlnm.Print_Area" localSheetId="6">Jardineiro!$A$1:$E$173</definedName>
    <definedName name="_xlnm.Print_Area" localSheetId="7">'Jardineiro - Diária'!$A$1:$E$173</definedName>
    <definedName name="_xlnm.Print_Area" localSheetId="4">Líder!$A$1:$E$172</definedName>
    <definedName name="_xlnm.Print_Area" localSheetId="1">'Servente de Limpeza'!$A$1:$E$165</definedName>
    <definedName name="_xlnm.Print_Area" localSheetId="2">'Servente de Limpeza - Banheiro'!$A$1:$E$165</definedName>
    <definedName name="_xlnm.Print_Area" localSheetId="3">'Servente de Limpeza - Diária'!$A$1:$E$165</definedName>
    <definedName name="_xlnm.Print_Area" localSheetId="16">'Tributos - Real'!$A$1:$F$38</definedName>
    <definedName name="_xlnm.Print_Area" localSheetId="17">#REF!</definedName>
    <definedName name="_xlnm.Print_Area">#REF!</definedName>
    <definedName name="Excel_BuiltIn_Print_Area_1" localSheetId="7">#REF!</definedName>
    <definedName name="Excel_BuiltIn_Print_Area_1" localSheetId="3">#REF!</definedName>
    <definedName name="Excel_BuiltIn_Print_Area_1" localSheetId="16">#REF!</definedName>
    <definedName name="Excel_BuiltIn_Print_Area_1" localSheetId="17">#REF!</definedName>
    <definedName name="Excel_BuiltIn_Print_Area_1">#REF!</definedName>
    <definedName name="Excel_BuiltIn_Print_Area_2" localSheetId="7">#REF!</definedName>
    <definedName name="Excel_BuiltIn_Print_Area_2" localSheetId="3">#REF!</definedName>
    <definedName name="Excel_BuiltIn_Print_Area_2" localSheetId="16">#REF!</definedName>
    <definedName name="Excel_BuiltIn_Print_Area_2" localSheetId="17">#REF!</definedName>
    <definedName name="Excel_BuiltIn_Print_Area_2">#REF!</definedName>
    <definedName name="Jardineiro" localSheetId="7">#REF!</definedName>
    <definedName name="Jardineiro" localSheetId="3">#REF!</definedName>
    <definedName name="Jardineiro" localSheetId="16">#REF!</definedName>
    <definedName name="Jardineiro" localSheetId="17">#REF!</definedName>
    <definedName name="Jardineiro">#REF!</definedName>
    <definedName name="Print_Area_1" localSheetId="7">#REF!</definedName>
    <definedName name="Print_Area_1" localSheetId="3">#REF!</definedName>
    <definedName name="Print_Area_1" localSheetId="16">#REF!</definedName>
    <definedName name="Print_Area_1" localSheetId="17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7" l="1"/>
  <c r="F9" i="7"/>
  <c r="F8" i="7"/>
  <c r="F7" i="7"/>
  <c r="F6" i="7"/>
  <c r="G11" i="10"/>
  <c r="F7" i="10"/>
  <c r="G7" i="10" s="1"/>
  <c r="F8" i="10"/>
  <c r="G8" i="10" s="1"/>
  <c r="F9" i="10"/>
  <c r="G9" i="10" s="1"/>
  <c r="F10" i="10"/>
  <c r="G10" i="10" s="1"/>
  <c r="F11" i="10"/>
  <c r="F6" i="10"/>
  <c r="G6" i="10" s="1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D82" i="8"/>
  <c r="E82" i="8" s="1"/>
  <c r="G82" i="8" s="1"/>
  <c r="D81" i="8"/>
  <c r="H81" i="8" s="1"/>
  <c r="D80" i="8"/>
  <c r="E80" i="8" s="1"/>
  <c r="G80" i="8" s="1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H40" i="8"/>
  <c r="F43" i="19"/>
  <c r="G43" i="19" s="1"/>
  <c r="F42" i="19"/>
  <c r="G42" i="19" s="1"/>
  <c r="F41" i="19"/>
  <c r="G41" i="19" s="1"/>
  <c r="F40" i="19"/>
  <c r="G40" i="19" s="1"/>
  <c r="F39" i="19"/>
  <c r="G39" i="19" s="1"/>
  <c r="F38" i="19"/>
  <c r="G38" i="19" s="1"/>
  <c r="F37" i="19"/>
  <c r="G37" i="19" s="1"/>
  <c r="F36" i="19"/>
  <c r="G36" i="19" s="1"/>
  <c r="F35" i="19"/>
  <c r="G35" i="19" s="1"/>
  <c r="F34" i="19"/>
  <c r="G34" i="19" s="1"/>
  <c r="F33" i="19"/>
  <c r="G33" i="19" s="1"/>
  <c r="F32" i="19"/>
  <c r="G32" i="19" s="1"/>
  <c r="F31" i="19"/>
  <c r="G31" i="19" s="1"/>
  <c r="F30" i="19"/>
  <c r="G30" i="19" s="1"/>
  <c r="F29" i="19"/>
  <c r="G29" i="19" s="1"/>
  <c r="F28" i="19"/>
  <c r="G28" i="19" s="1"/>
  <c r="F27" i="19"/>
  <c r="G27" i="19" s="1"/>
  <c r="F26" i="19"/>
  <c r="G26" i="19" s="1"/>
  <c r="F25" i="19"/>
  <c r="G25" i="19" s="1"/>
  <c r="F24" i="19"/>
  <c r="G24" i="19" s="1"/>
  <c r="F23" i="19"/>
  <c r="G23" i="19" s="1"/>
  <c r="D125" i="17"/>
  <c r="G6" i="6"/>
  <c r="G7" i="6"/>
  <c r="G8" i="6"/>
  <c r="G9" i="6"/>
  <c r="F6" i="6"/>
  <c r="F7" i="6"/>
  <c r="F8" i="6"/>
  <c r="F9" i="6"/>
  <c r="H6" i="7" l="1"/>
  <c r="I6" i="7" s="1"/>
  <c r="J6" i="7" s="1"/>
  <c r="H8" i="7"/>
  <c r="I8" i="7" s="1"/>
  <c r="J8" i="7" s="1"/>
  <c r="H7" i="7"/>
  <c r="I7" i="7" s="1"/>
  <c r="J7" i="7" s="1"/>
  <c r="H9" i="7"/>
  <c r="I9" i="7" s="1"/>
  <c r="J9" i="7" s="1"/>
  <c r="E81" i="8"/>
  <c r="G81" i="8" s="1"/>
  <c r="H80" i="8"/>
  <c r="H82" i="8"/>
  <c r="D27" i="13"/>
  <c r="D27" i="12"/>
  <c r="D65" i="11"/>
  <c r="D27" i="11"/>
  <c r="D66" i="15"/>
  <c r="D27" i="17"/>
  <c r="H14" i="7" l="1"/>
  <c r="H16" i="7"/>
  <c r="I16" i="7" s="1"/>
  <c r="J16" i="7" s="1"/>
  <c r="H17" i="7"/>
  <c r="D129" i="20"/>
  <c r="D129" i="17"/>
  <c r="D129" i="1"/>
  <c r="C143" i="11"/>
  <c r="C144" i="20"/>
  <c r="C144" i="15"/>
  <c r="C17" i="15"/>
  <c r="D27" i="15"/>
  <c r="D26" i="15"/>
  <c r="C144" i="1"/>
  <c r="G21" i="6"/>
  <c r="G22" i="6"/>
  <c r="G23" i="6"/>
  <c r="G24" i="6"/>
  <c r="G25" i="6"/>
  <c r="F21" i="6"/>
  <c r="F22" i="6"/>
  <c r="F23" i="6"/>
  <c r="F24" i="6"/>
  <c r="F25" i="6"/>
  <c r="F20" i="6"/>
  <c r="G20" i="6" s="1"/>
  <c r="F19" i="6"/>
  <c r="G19" i="6" s="1"/>
  <c r="F18" i="6"/>
  <c r="G18" i="6" s="1"/>
  <c r="F17" i="6"/>
  <c r="G17" i="6" s="1"/>
  <c r="F16" i="6"/>
  <c r="G16" i="6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H42" i="8"/>
  <c r="H41" i="8"/>
  <c r="G42" i="8"/>
  <c r="G43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G20" i="19"/>
  <c r="G21" i="19"/>
  <c r="G22" i="19"/>
  <c r="F19" i="19"/>
  <c r="F20" i="19"/>
  <c r="F21" i="19"/>
  <c r="F22" i="19"/>
  <c r="F10" i="7"/>
  <c r="H10" i="7" s="1"/>
  <c r="F11" i="7"/>
  <c r="H11" i="7" s="1"/>
  <c r="F12" i="7"/>
  <c r="F13" i="7"/>
  <c r="F14" i="7"/>
  <c r="I14" i="7" s="1"/>
  <c r="J14" i="7" s="1"/>
  <c r="F15" i="7"/>
  <c r="F16" i="7"/>
  <c r="F17" i="7"/>
  <c r="I17" i="7" s="1"/>
  <c r="J17" i="7" s="1"/>
  <c r="F18" i="7"/>
  <c r="H18" i="7" s="1"/>
  <c r="I18" i="7" s="1"/>
  <c r="J18" i="7" s="1"/>
  <c r="F11" i="6"/>
  <c r="G11" i="6" s="1"/>
  <c r="F12" i="6"/>
  <c r="G12" i="6" s="1"/>
  <c r="F13" i="6"/>
  <c r="G13" i="6" s="1"/>
  <c r="F14" i="6"/>
  <c r="G14" i="6" s="1"/>
  <c r="F15" i="6"/>
  <c r="G15" i="6" s="1"/>
  <c r="F10" i="6"/>
  <c r="G10" i="6" s="1"/>
  <c r="I10" i="7" l="1"/>
  <c r="J10" i="7" s="1"/>
  <c r="H15" i="7"/>
  <c r="I15" i="7" s="1"/>
  <c r="J15" i="7" s="1"/>
  <c r="H13" i="7"/>
  <c r="I13" i="7" s="1"/>
  <c r="J13" i="7" s="1"/>
  <c r="I11" i="7"/>
  <c r="J11" i="7" s="1"/>
  <c r="H12" i="7"/>
  <c r="I12" i="7" s="1"/>
  <c r="J12" i="7" s="1"/>
  <c r="G41" i="8"/>
  <c r="H43" i="8"/>
  <c r="C17" i="11"/>
  <c r="C17" i="20"/>
  <c r="C17" i="17"/>
  <c r="H11" i="14" l="1"/>
  <c r="E11" i="14"/>
  <c r="H7" i="14"/>
  <c r="E7" i="14"/>
  <c r="D31" i="24"/>
  <c r="D30" i="24"/>
  <c r="D29" i="24"/>
  <c r="D28" i="24"/>
  <c r="D26" i="24"/>
  <c r="D25" i="24"/>
  <c r="C17" i="24" s="1"/>
  <c r="D62" i="20"/>
  <c r="D63" i="20"/>
  <c r="D64" i="20"/>
  <c r="D26" i="20"/>
  <c r="D27" i="20"/>
  <c r="D28" i="20"/>
  <c r="D29" i="20"/>
  <c r="D30" i="20"/>
  <c r="D25" i="20"/>
  <c r="C144" i="24"/>
  <c r="C141" i="24"/>
  <c r="C140" i="24"/>
  <c r="D129" i="24"/>
  <c r="D127" i="24"/>
  <c r="D126" i="24"/>
  <c r="D112" i="24"/>
  <c r="D119" i="24" s="1"/>
  <c r="C104" i="24"/>
  <c r="C103" i="24"/>
  <c r="C102" i="24"/>
  <c r="C101" i="24"/>
  <c r="C100" i="24"/>
  <c r="C99" i="24"/>
  <c r="C88" i="24"/>
  <c r="C85" i="24"/>
  <c r="C86" i="24" s="1"/>
  <c r="D65" i="24"/>
  <c r="C65" i="24"/>
  <c r="D64" i="24"/>
  <c r="C64" i="24"/>
  <c r="D63" i="24"/>
  <c r="D70" i="24" s="1"/>
  <c r="D78" i="24" s="1"/>
  <c r="C55" i="24"/>
  <c r="C54" i="24"/>
  <c r="C53" i="24"/>
  <c r="C52" i="24"/>
  <c r="C50" i="24"/>
  <c r="C42" i="24"/>
  <c r="C41" i="24"/>
  <c r="C40" i="24"/>
  <c r="C55" i="13"/>
  <c r="C54" i="13"/>
  <c r="C53" i="13"/>
  <c r="C52" i="13"/>
  <c r="C50" i="13"/>
  <c r="C55" i="12"/>
  <c r="C54" i="12"/>
  <c r="C53" i="12"/>
  <c r="C52" i="12"/>
  <c r="C50" i="12"/>
  <c r="C54" i="11"/>
  <c r="C53" i="11"/>
  <c r="C52" i="11"/>
  <c r="C51" i="11"/>
  <c r="C49" i="11"/>
  <c r="C54" i="15"/>
  <c r="C53" i="15"/>
  <c r="C52" i="15"/>
  <c r="C51" i="15"/>
  <c r="C49" i="15"/>
  <c r="C54" i="20"/>
  <c r="C53" i="20"/>
  <c r="C52" i="20"/>
  <c r="C51" i="20"/>
  <c r="C49" i="20"/>
  <c r="C54" i="17"/>
  <c r="C53" i="17"/>
  <c r="C52" i="17"/>
  <c r="C51" i="17"/>
  <c r="C49" i="17"/>
  <c r="C144" i="13"/>
  <c r="C141" i="13"/>
  <c r="C140" i="13"/>
  <c r="C144" i="12"/>
  <c r="C141" i="12"/>
  <c r="C140" i="12"/>
  <c r="C140" i="11"/>
  <c r="C139" i="11"/>
  <c r="C141" i="15"/>
  <c r="C140" i="15"/>
  <c r="C141" i="20"/>
  <c r="C140" i="20"/>
  <c r="C144" i="17"/>
  <c r="C141" i="17"/>
  <c r="C140" i="17"/>
  <c r="C141" i="1"/>
  <c r="C140" i="1"/>
  <c r="C54" i="1"/>
  <c r="C53" i="1"/>
  <c r="C52" i="1"/>
  <c r="C51" i="1"/>
  <c r="C49" i="1"/>
  <c r="B2" i="9"/>
  <c r="C17" i="1"/>
  <c r="C138" i="24" l="1"/>
  <c r="C57" i="24"/>
  <c r="C89" i="24" s="1"/>
  <c r="B2" i="22"/>
  <c r="B35" i="21"/>
  <c r="C35" i="21" s="1"/>
  <c r="E35" i="21" s="1"/>
  <c r="F35" i="21" s="1"/>
  <c r="A35" i="21"/>
  <c r="C34" i="21"/>
  <c r="E34" i="21" s="1"/>
  <c r="F34" i="21" s="1"/>
  <c r="B34" i="21"/>
  <c r="A34" i="21"/>
  <c r="C33" i="21"/>
  <c r="E33" i="21" s="1"/>
  <c r="F33" i="21" s="1"/>
  <c r="B33" i="21"/>
  <c r="A33" i="21"/>
  <c r="C32" i="21"/>
  <c r="E32" i="21" s="1"/>
  <c r="F32" i="21" s="1"/>
  <c r="B32" i="21"/>
  <c r="A32" i="21"/>
  <c r="B31" i="21"/>
  <c r="C31" i="21" s="1"/>
  <c r="E31" i="21" s="1"/>
  <c r="F31" i="21" s="1"/>
  <c r="A31" i="21"/>
  <c r="B30" i="21"/>
  <c r="C30" i="21" s="1"/>
  <c r="E30" i="21" s="1"/>
  <c r="F30" i="21" s="1"/>
  <c r="A30" i="21"/>
  <c r="B29" i="21"/>
  <c r="C29" i="21" s="1"/>
  <c r="E29" i="21" s="1"/>
  <c r="F29" i="21" s="1"/>
  <c r="A29" i="21"/>
  <c r="E28" i="21"/>
  <c r="F28" i="21" s="1"/>
  <c r="C28" i="21"/>
  <c r="B28" i="21"/>
  <c r="A28" i="21"/>
  <c r="B27" i="21"/>
  <c r="C27" i="21" s="1"/>
  <c r="E27" i="21" s="1"/>
  <c r="F27" i="21" s="1"/>
  <c r="A27" i="21"/>
  <c r="C26" i="21"/>
  <c r="E26" i="21" s="1"/>
  <c r="F26" i="21" s="1"/>
  <c r="B26" i="21"/>
  <c r="A26" i="21"/>
  <c r="C25" i="21"/>
  <c r="E25" i="21" s="1"/>
  <c r="F25" i="21" s="1"/>
  <c r="B25" i="21"/>
  <c r="A25" i="21"/>
  <c r="C24" i="21"/>
  <c r="E24" i="21" s="1"/>
  <c r="F24" i="21" s="1"/>
  <c r="F36" i="21" s="1"/>
  <c r="B24" i="21"/>
  <c r="A24" i="21"/>
  <c r="C18" i="21"/>
  <c r="E18" i="21" s="1"/>
  <c r="F18" i="21" s="1"/>
  <c r="E17" i="21"/>
  <c r="F17" i="21" s="1"/>
  <c r="C17" i="21"/>
  <c r="E16" i="21"/>
  <c r="F16" i="21" s="1"/>
  <c r="C16" i="21"/>
  <c r="E15" i="21"/>
  <c r="F15" i="21" s="1"/>
  <c r="C15" i="21"/>
  <c r="C14" i="21"/>
  <c r="E14" i="21" s="1"/>
  <c r="F14" i="21" s="1"/>
  <c r="F13" i="21"/>
  <c r="E13" i="21"/>
  <c r="C13" i="21"/>
  <c r="C12" i="21"/>
  <c r="E12" i="21" s="1"/>
  <c r="F12" i="21" s="1"/>
  <c r="C11" i="21"/>
  <c r="E11" i="21" s="1"/>
  <c r="F11" i="21" s="1"/>
  <c r="F10" i="21"/>
  <c r="C10" i="21"/>
  <c r="C9" i="21"/>
  <c r="E9" i="21" s="1"/>
  <c r="F9" i="21" s="1"/>
  <c r="C8" i="21"/>
  <c r="E8" i="21" s="1"/>
  <c r="F8" i="21" s="1"/>
  <c r="C7" i="21"/>
  <c r="E7" i="21" s="1"/>
  <c r="F7" i="21" s="1"/>
  <c r="B3" i="22" l="1"/>
  <c r="B4" i="22"/>
  <c r="F19" i="21"/>
  <c r="F45" i="21" s="1"/>
  <c r="B5" i="22" l="1"/>
  <c r="B8" i="22" l="1"/>
  <c r="B6" i="22"/>
  <c r="B7" i="22"/>
  <c r="C138" i="20" l="1"/>
  <c r="D128" i="20"/>
  <c r="D118" i="20"/>
  <c r="D111" i="20"/>
  <c r="C103" i="20"/>
  <c r="C102" i="20"/>
  <c r="C101" i="20"/>
  <c r="C100" i="20"/>
  <c r="C99" i="20"/>
  <c r="C87" i="20"/>
  <c r="C85" i="20"/>
  <c r="C84" i="20"/>
  <c r="C64" i="20"/>
  <c r="C63" i="20"/>
  <c r="C56" i="20"/>
  <c r="C88" i="20" s="1"/>
  <c r="C41" i="20"/>
  <c r="C40" i="20"/>
  <c r="C98" i="20" s="1"/>
  <c r="C39" i="20"/>
  <c r="D31" i="20"/>
  <c r="D39" i="20" l="1"/>
  <c r="D41" i="20"/>
  <c r="D40" i="20"/>
  <c r="D151" i="20"/>
  <c r="G2" i="6"/>
  <c r="F3" i="6"/>
  <c r="G3" i="6" s="1"/>
  <c r="F4" i="6"/>
  <c r="G4" i="6" s="1"/>
  <c r="F5" i="6"/>
  <c r="G5" i="6" s="1"/>
  <c r="F2" i="6"/>
  <c r="F3" i="10"/>
  <c r="G3" i="10" s="1"/>
  <c r="F4" i="10"/>
  <c r="G4" i="10" s="1"/>
  <c r="F5" i="10"/>
  <c r="G5" i="10" s="1"/>
  <c r="F2" i="10"/>
  <c r="G2" i="10" s="1"/>
  <c r="F3" i="7"/>
  <c r="F4" i="7"/>
  <c r="H4" i="7" s="1"/>
  <c r="I4" i="7" s="1"/>
  <c r="J4" i="7" s="1"/>
  <c r="F5" i="7"/>
  <c r="F2" i="7"/>
  <c r="E11" i="8"/>
  <c r="G11" i="8" s="1"/>
  <c r="E12" i="8"/>
  <c r="G12" i="8" s="1"/>
  <c r="E13" i="8"/>
  <c r="G13" i="8" s="1"/>
  <c r="E14" i="8"/>
  <c r="G14" i="8" s="1"/>
  <c r="E15" i="8"/>
  <c r="G15" i="8" s="1"/>
  <c r="E16" i="8"/>
  <c r="G16" i="8" s="1"/>
  <c r="E17" i="8"/>
  <c r="G17" i="8" s="1"/>
  <c r="E18" i="8"/>
  <c r="G18" i="8" s="1"/>
  <c r="E19" i="8"/>
  <c r="G19" i="8" s="1"/>
  <c r="E20" i="8"/>
  <c r="G20" i="8" s="1"/>
  <c r="E21" i="8"/>
  <c r="G21" i="8" s="1"/>
  <c r="E22" i="8"/>
  <c r="G22" i="8" s="1"/>
  <c r="E23" i="8"/>
  <c r="G23" i="8" s="1"/>
  <c r="E24" i="8"/>
  <c r="G24" i="8" s="1"/>
  <c r="E25" i="8"/>
  <c r="G25" i="8" s="1"/>
  <c r="E26" i="8"/>
  <c r="G26" i="8" s="1"/>
  <c r="E27" i="8"/>
  <c r="G27" i="8" s="1"/>
  <c r="E28" i="8"/>
  <c r="G28" i="8" s="1"/>
  <c r="E29" i="8"/>
  <c r="G29" i="8" s="1"/>
  <c r="E30" i="8"/>
  <c r="G30" i="8" s="1"/>
  <c r="E31" i="8"/>
  <c r="G31" i="8" s="1"/>
  <c r="E32" i="8"/>
  <c r="G32" i="8" s="1"/>
  <c r="E33" i="8"/>
  <c r="G33" i="8" s="1"/>
  <c r="E34" i="8"/>
  <c r="G34" i="8" s="1"/>
  <c r="E35" i="8"/>
  <c r="G35" i="8" s="1"/>
  <c r="E36" i="8"/>
  <c r="G36" i="8" s="1"/>
  <c r="E37" i="8"/>
  <c r="G37" i="8" s="1"/>
  <c r="E38" i="8"/>
  <c r="G38" i="8" s="1"/>
  <c r="E39" i="8"/>
  <c r="G39" i="8" s="1"/>
  <c r="E40" i="8"/>
  <c r="G40" i="8" s="1"/>
  <c r="F3" i="19"/>
  <c r="G3" i="19" s="1"/>
  <c r="F4" i="19"/>
  <c r="G4" i="19" s="1"/>
  <c r="F5" i="19"/>
  <c r="G5" i="19" s="1"/>
  <c r="F6" i="19"/>
  <c r="G6" i="19" s="1"/>
  <c r="F7" i="19"/>
  <c r="G7" i="19" s="1"/>
  <c r="F8" i="19"/>
  <c r="G8" i="19" s="1"/>
  <c r="F9" i="19"/>
  <c r="G9" i="19" s="1"/>
  <c r="F10" i="19"/>
  <c r="G10" i="19" s="1"/>
  <c r="F11" i="19"/>
  <c r="G11" i="19" s="1"/>
  <c r="F12" i="19"/>
  <c r="G12" i="19" s="1"/>
  <c r="F13" i="19"/>
  <c r="G13" i="19" s="1"/>
  <c r="F14" i="19"/>
  <c r="G14" i="19" s="1"/>
  <c r="F15" i="19"/>
  <c r="G15" i="19" s="1"/>
  <c r="F16" i="19"/>
  <c r="G16" i="19" s="1"/>
  <c r="F17" i="19"/>
  <c r="G17" i="19" s="1"/>
  <c r="F18" i="19"/>
  <c r="G18" i="19" s="1"/>
  <c r="G19" i="19"/>
  <c r="F2" i="19"/>
  <c r="G2" i="19" s="1"/>
  <c r="H2" i="8"/>
  <c r="H5" i="7" l="1"/>
  <c r="D128" i="17"/>
  <c r="H2" i="7"/>
  <c r="I2" i="7" s="1"/>
  <c r="J2" i="7" s="1"/>
  <c r="H3" i="7"/>
  <c r="I3" i="7" s="1"/>
  <c r="J3" i="7" s="1"/>
  <c r="D125" i="20"/>
  <c r="D42" i="20"/>
  <c r="J5" i="7" l="1"/>
  <c r="I5" i="7"/>
  <c r="D75" i="20"/>
  <c r="D89" i="20" s="1"/>
  <c r="D50" i="20"/>
  <c r="D55" i="20"/>
  <c r="D49" i="20"/>
  <c r="D51" i="20"/>
  <c r="D48" i="20"/>
  <c r="D52" i="20"/>
  <c r="D53" i="20"/>
  <c r="D54" i="20"/>
  <c r="C41" i="13"/>
  <c r="C138" i="17"/>
  <c r="C103" i="17"/>
  <c r="C102" i="17"/>
  <c r="C101" i="17"/>
  <c r="C100" i="17"/>
  <c r="C99" i="17"/>
  <c r="C98" i="17"/>
  <c r="C87" i="17"/>
  <c r="C85" i="17"/>
  <c r="C84" i="17"/>
  <c r="C84" i="1"/>
  <c r="H6" i="14"/>
  <c r="E6" i="14"/>
  <c r="D118" i="17"/>
  <c r="D111" i="17"/>
  <c r="C64" i="17"/>
  <c r="C63" i="17"/>
  <c r="C56" i="17"/>
  <c r="C41" i="17"/>
  <c r="C40" i="17"/>
  <c r="C39" i="17"/>
  <c r="D26" i="17"/>
  <c r="D31" i="17" s="1"/>
  <c r="D87" i="20" l="1"/>
  <c r="D88" i="20"/>
  <c r="D84" i="20"/>
  <c r="D86" i="20"/>
  <c r="D85" i="20"/>
  <c r="D56" i="20"/>
  <c r="D76" i="20" s="1"/>
  <c r="C88" i="17"/>
  <c r="D151" i="17"/>
  <c r="D40" i="17"/>
  <c r="D41" i="17"/>
  <c r="D39" i="17"/>
  <c r="D90" i="20" l="1"/>
  <c r="D153" i="20" s="1"/>
  <c r="D42" i="17"/>
  <c r="D75" i="17" s="1"/>
  <c r="D89" i="17" s="1"/>
  <c r="D54" i="17"/>
  <c r="D48" i="17"/>
  <c r="D84" i="17"/>
  <c r="D52" i="17"/>
  <c r="D50" i="17"/>
  <c r="D53" i="17"/>
  <c r="D85" i="17" l="1"/>
  <c r="D51" i="17"/>
  <c r="D88" i="17"/>
  <c r="D86" i="17"/>
  <c r="D55" i="17"/>
  <c r="D56" i="17" s="1"/>
  <c r="D76" i="17" s="1"/>
  <c r="D87" i="17"/>
  <c r="D49" i="17"/>
  <c r="D90" i="17" l="1"/>
  <c r="D153" i="17" s="1"/>
  <c r="E3" i="8"/>
  <c r="G3" i="8" s="1"/>
  <c r="H3" i="8"/>
  <c r="E4" i="8"/>
  <c r="G4" i="8" s="1"/>
  <c r="H4" i="8"/>
  <c r="E5" i="8"/>
  <c r="G5" i="8" s="1"/>
  <c r="H5" i="8"/>
  <c r="E6" i="8"/>
  <c r="G6" i="8" s="1"/>
  <c r="H6" i="8"/>
  <c r="E7" i="8"/>
  <c r="G7" i="8" s="1"/>
  <c r="H7" i="8"/>
  <c r="E8" i="8"/>
  <c r="G8" i="8" s="1"/>
  <c r="H8" i="8"/>
  <c r="E9" i="8"/>
  <c r="G9" i="8" s="1"/>
  <c r="H9" i="8"/>
  <c r="E10" i="8"/>
  <c r="G10" i="8" s="1"/>
  <c r="H10" i="8"/>
  <c r="E2" i="8"/>
  <c r="G2" i="8" s="1"/>
  <c r="D27" i="24" l="1"/>
  <c r="D32" i="24" s="1"/>
  <c r="D27" i="1"/>
  <c r="D42" i="24" l="1"/>
  <c r="D151" i="24"/>
  <c r="D40" i="24"/>
  <c r="D41" i="24"/>
  <c r="E12" i="14"/>
  <c r="E10" i="14"/>
  <c r="E9" i="14"/>
  <c r="C104" i="13"/>
  <c r="C103" i="13"/>
  <c r="C102" i="13"/>
  <c r="C101" i="13"/>
  <c r="C100" i="13"/>
  <c r="C88" i="13"/>
  <c r="C86" i="13"/>
  <c r="C85" i="13"/>
  <c r="C104" i="12"/>
  <c r="C103" i="12"/>
  <c r="C102" i="12"/>
  <c r="C101" i="12"/>
  <c r="C100" i="12"/>
  <c r="C88" i="12"/>
  <c r="C86" i="12"/>
  <c r="C85" i="12"/>
  <c r="C41" i="12"/>
  <c r="C103" i="1"/>
  <c r="C103" i="15"/>
  <c r="C102" i="11"/>
  <c r="C101" i="11"/>
  <c r="C100" i="11"/>
  <c r="C99" i="11"/>
  <c r="C102" i="15"/>
  <c r="C101" i="15"/>
  <c r="C100" i="15"/>
  <c r="C99" i="15"/>
  <c r="C103" i="11"/>
  <c r="C87" i="11"/>
  <c r="C84" i="11"/>
  <c r="C85" i="11" s="1"/>
  <c r="C40" i="11"/>
  <c r="C87" i="15"/>
  <c r="C84" i="15"/>
  <c r="C85" i="15" s="1"/>
  <c r="C40" i="15"/>
  <c r="C40" i="1"/>
  <c r="C102" i="1"/>
  <c r="C101" i="1"/>
  <c r="C100" i="1"/>
  <c r="C99" i="1"/>
  <c r="C87" i="1"/>
  <c r="C85" i="1"/>
  <c r="D43" i="24" l="1"/>
  <c r="H8" i="14"/>
  <c r="E8" i="14"/>
  <c r="C138" i="15"/>
  <c r="D128" i="15"/>
  <c r="D126" i="15"/>
  <c r="D125" i="15"/>
  <c r="D111" i="15"/>
  <c r="D118" i="15" s="1"/>
  <c r="C98" i="15"/>
  <c r="C64" i="15"/>
  <c r="C63" i="15"/>
  <c r="C56" i="15"/>
  <c r="C88" i="15" s="1"/>
  <c r="C41" i="15"/>
  <c r="C39" i="15"/>
  <c r="D31" i="15"/>
  <c r="C99" i="13"/>
  <c r="D76" i="24" l="1"/>
  <c r="D51" i="24"/>
  <c r="D50" i="24"/>
  <c r="D56" i="24"/>
  <c r="D53" i="24"/>
  <c r="D52" i="24"/>
  <c r="D49" i="24"/>
  <c r="D55" i="24"/>
  <c r="D54" i="24"/>
  <c r="D41" i="15"/>
  <c r="D39" i="15"/>
  <c r="D151" i="15"/>
  <c r="D40" i="15"/>
  <c r="D90" i="24" l="1"/>
  <c r="D86" i="24"/>
  <c r="D89" i="24"/>
  <c r="D85" i="24"/>
  <c r="D87" i="24"/>
  <c r="D88" i="24"/>
  <c r="D57" i="24"/>
  <c r="D77" i="24" s="1"/>
  <c r="D79" i="24" s="1"/>
  <c r="D42" i="15"/>
  <c r="D152" i="24" l="1"/>
  <c r="D91" i="24"/>
  <c r="D153" i="24" s="1"/>
  <c r="D75" i="15"/>
  <c r="D49" i="15"/>
  <c r="D51" i="15"/>
  <c r="D50" i="15"/>
  <c r="D55" i="15"/>
  <c r="D48" i="15"/>
  <c r="D52" i="15"/>
  <c r="D54" i="15"/>
  <c r="D53" i="15"/>
  <c r="D100" i="24" l="1"/>
  <c r="D104" i="24"/>
  <c r="D103" i="24"/>
  <c r="D99" i="24"/>
  <c r="D102" i="24"/>
  <c r="D101" i="24"/>
  <c r="D87" i="15"/>
  <c r="D84" i="15"/>
  <c r="D85" i="15"/>
  <c r="D89" i="15"/>
  <c r="D88" i="15"/>
  <c r="D86" i="15"/>
  <c r="D56" i="15"/>
  <c r="D76" i="15" s="1"/>
  <c r="D105" i="24" l="1"/>
  <c r="D118" i="24" s="1"/>
  <c r="D120" i="24" s="1"/>
  <c r="D154" i="24" s="1"/>
  <c r="D90" i="15"/>
  <c r="D153" i="15" s="1"/>
  <c r="H10" i="14"/>
  <c r="D128" i="24" s="1"/>
  <c r="D130" i="24" s="1"/>
  <c r="H12" i="14"/>
  <c r="H9" i="14"/>
  <c r="H5" i="14"/>
  <c r="E5" i="14"/>
  <c r="D126" i="1" l="1"/>
  <c r="D127" i="1"/>
  <c r="D127" i="17"/>
  <c r="D155" i="24"/>
  <c r="D156" i="24" s="1"/>
  <c r="D136" i="24"/>
  <c r="D137" i="24" s="1"/>
  <c r="D140" i="24" s="1"/>
  <c r="D126" i="20"/>
  <c r="D127" i="20"/>
  <c r="D127" i="15"/>
  <c r="D130" i="15" s="1"/>
  <c r="D155" i="15" s="1"/>
  <c r="D127" i="11"/>
  <c r="D128" i="12"/>
  <c r="D128" i="13"/>
  <c r="C65" i="12"/>
  <c r="C64" i="12"/>
  <c r="D141" i="24" l="1"/>
  <c r="D143" i="24"/>
  <c r="D142" i="24"/>
  <c r="D144" i="24"/>
  <c r="D130" i="20"/>
  <c r="D155" i="20" s="1"/>
  <c r="D130" i="17"/>
  <c r="D155" i="17" s="1"/>
  <c r="D128" i="1"/>
  <c r="D138" i="24" l="1"/>
  <c r="D145" i="24" s="1"/>
  <c r="D157" i="24" s="1"/>
  <c r="D158" i="24" s="1"/>
  <c r="D159" i="24" s="1"/>
  <c r="D160" i="24" s="1"/>
  <c r="D31" i="13"/>
  <c r="C138" i="13"/>
  <c r="D129" i="13"/>
  <c r="D127" i="13"/>
  <c r="D126" i="13"/>
  <c r="D112" i="13"/>
  <c r="D119" i="13" s="1"/>
  <c r="C65" i="13"/>
  <c r="C64" i="13"/>
  <c r="C57" i="13"/>
  <c r="C89" i="13" s="1"/>
  <c r="C42" i="13"/>
  <c r="C40" i="13"/>
  <c r="D26" i="13"/>
  <c r="D31" i="12"/>
  <c r="C138" i="12"/>
  <c r="D129" i="12"/>
  <c r="D127" i="12"/>
  <c r="D126" i="12"/>
  <c r="D112" i="12"/>
  <c r="D119" i="12" s="1"/>
  <c r="C99" i="12"/>
  <c r="C57" i="12"/>
  <c r="C89" i="12" s="1"/>
  <c r="C42" i="12"/>
  <c r="C40" i="12"/>
  <c r="D26" i="12"/>
  <c r="D128" i="11"/>
  <c r="C137" i="11"/>
  <c r="D126" i="11"/>
  <c r="D125" i="11"/>
  <c r="D111" i="11"/>
  <c r="D118" i="11" s="1"/>
  <c r="C98" i="11"/>
  <c r="C64" i="11"/>
  <c r="C63" i="11"/>
  <c r="C56" i="11"/>
  <c r="C88" i="11" s="1"/>
  <c r="C41" i="11"/>
  <c r="C39" i="11"/>
  <c r="D26" i="11"/>
  <c r="D31" i="11" s="1"/>
  <c r="D125" i="1"/>
  <c r="D11" i="14" l="1"/>
  <c r="G11" i="14" s="1"/>
  <c r="I11" i="14" s="1"/>
  <c r="I26" i="14" s="1"/>
  <c r="D32" i="13"/>
  <c r="D32" i="12"/>
  <c r="D130" i="1"/>
  <c r="D130" i="13"/>
  <c r="D155" i="13" s="1"/>
  <c r="D130" i="12"/>
  <c r="D155" i="12" s="1"/>
  <c r="D129" i="11"/>
  <c r="D154" i="11" s="1"/>
  <c r="D150" i="11"/>
  <c r="D41" i="11"/>
  <c r="D39" i="11"/>
  <c r="D40" i="11"/>
  <c r="D64" i="1"/>
  <c r="F4" i="9"/>
  <c r="D64" i="17" s="1"/>
  <c r="F3" i="9"/>
  <c r="F2" i="9"/>
  <c r="D62" i="17" l="1"/>
  <c r="D63" i="17"/>
  <c r="D42" i="12"/>
  <c r="D151" i="12"/>
  <c r="D40" i="12"/>
  <c r="D41" i="12"/>
  <c r="D41" i="13"/>
  <c r="D42" i="13"/>
  <c r="D40" i="13"/>
  <c r="D151" i="13"/>
  <c r="D64" i="15"/>
  <c r="D65" i="12"/>
  <c r="D64" i="11"/>
  <c r="D65" i="13"/>
  <c r="D62" i="15"/>
  <c r="D63" i="12"/>
  <c r="D63" i="13"/>
  <c r="D62" i="1"/>
  <c r="D62" i="11"/>
  <c r="D63" i="15"/>
  <c r="D64" i="12"/>
  <c r="D63" i="1"/>
  <c r="D64" i="13"/>
  <c r="D63" i="11"/>
  <c r="D42" i="11"/>
  <c r="D69" i="17" l="1"/>
  <c r="D77" i="17" s="1"/>
  <c r="D78" i="17" s="1"/>
  <c r="D103" i="17" s="1"/>
  <c r="D69" i="20"/>
  <c r="D77" i="20" s="1"/>
  <c r="D78" i="20" s="1"/>
  <c r="D43" i="12"/>
  <c r="D55" i="12" s="1"/>
  <c r="D43" i="13"/>
  <c r="D76" i="13" s="1"/>
  <c r="D56" i="13"/>
  <c r="D70" i="12"/>
  <c r="D78" i="12" s="1"/>
  <c r="D70" i="13"/>
  <c r="D78" i="13" s="1"/>
  <c r="D69" i="15"/>
  <c r="D77" i="15" s="1"/>
  <c r="D78" i="15" s="1"/>
  <c r="D69" i="11"/>
  <c r="D77" i="11" s="1"/>
  <c r="D51" i="12"/>
  <c r="D75" i="11"/>
  <c r="D52" i="11"/>
  <c r="D54" i="11"/>
  <c r="D48" i="11"/>
  <c r="D55" i="11"/>
  <c r="D50" i="11"/>
  <c r="D51" i="11"/>
  <c r="D49" i="11"/>
  <c r="D53" i="11"/>
  <c r="C56" i="1"/>
  <c r="C88" i="1" s="1"/>
  <c r="D51" i="13" l="1"/>
  <c r="D55" i="13"/>
  <c r="D50" i="13"/>
  <c r="D49" i="13"/>
  <c r="D56" i="12"/>
  <c r="D53" i="12"/>
  <c r="D76" i="12"/>
  <c r="D90" i="12" s="1"/>
  <c r="D50" i="12"/>
  <c r="D49" i="12"/>
  <c r="D52" i="12"/>
  <c r="D99" i="17"/>
  <c r="D102" i="17"/>
  <c r="D98" i="17"/>
  <c r="D101" i="17"/>
  <c r="D100" i="17"/>
  <c r="D104" i="17" s="1"/>
  <c r="D117" i="17" s="1"/>
  <c r="D119" i="17" s="1"/>
  <c r="D154" i="17" s="1"/>
  <c r="D156" i="17" s="1"/>
  <c r="D152" i="17"/>
  <c r="D102" i="20"/>
  <c r="D99" i="20"/>
  <c r="D103" i="20"/>
  <c r="D101" i="20"/>
  <c r="D98" i="20"/>
  <c r="D152" i="20"/>
  <c r="D100" i="20"/>
  <c r="D54" i="13"/>
  <c r="D88" i="11"/>
  <c r="D86" i="11"/>
  <c r="D85" i="11"/>
  <c r="D89" i="11"/>
  <c r="D84" i="11"/>
  <c r="D87" i="11"/>
  <c r="D54" i="12"/>
  <c r="D87" i="12"/>
  <c r="D88" i="12"/>
  <c r="D89" i="12"/>
  <c r="D85" i="12"/>
  <c r="D86" i="12"/>
  <c r="D52" i="13"/>
  <c r="D53" i="13"/>
  <c r="D89" i="13"/>
  <c r="D85" i="13"/>
  <c r="D86" i="13"/>
  <c r="D90" i="13"/>
  <c r="D88" i="13"/>
  <c r="D87" i="13"/>
  <c r="D103" i="15"/>
  <c r="D99" i="15"/>
  <c r="D102" i="15"/>
  <c r="D98" i="15"/>
  <c r="D101" i="15"/>
  <c r="D100" i="15"/>
  <c r="D152" i="15"/>
  <c r="D56" i="11"/>
  <c r="D76" i="11" s="1"/>
  <c r="D78" i="11" s="1"/>
  <c r="C63" i="1"/>
  <c r="C64" i="1"/>
  <c r="D57" i="12" l="1"/>
  <c r="D77" i="12" s="1"/>
  <c r="D79" i="12" s="1"/>
  <c r="D152" i="12" s="1"/>
  <c r="D57" i="13"/>
  <c r="D77" i="13" s="1"/>
  <c r="D79" i="13" s="1"/>
  <c r="D136" i="17"/>
  <c r="D137" i="17" s="1"/>
  <c r="D142" i="17" s="1"/>
  <c r="D104" i="20"/>
  <c r="D117" i="20" s="1"/>
  <c r="D119" i="20" s="1"/>
  <c r="D90" i="11"/>
  <c r="D152" i="11" s="1"/>
  <c r="D91" i="12"/>
  <c r="D153" i="12" s="1"/>
  <c r="D91" i="13"/>
  <c r="D153" i="13" s="1"/>
  <c r="D152" i="13"/>
  <c r="D104" i="15"/>
  <c r="D117" i="15" s="1"/>
  <c r="D119" i="15" s="1"/>
  <c r="D151" i="11"/>
  <c r="C41" i="1"/>
  <c r="D99" i="11" l="1"/>
  <c r="D101" i="11"/>
  <c r="D102" i="11"/>
  <c r="D103" i="12"/>
  <c r="D98" i="11"/>
  <c r="D99" i="13"/>
  <c r="D102" i="13"/>
  <c r="D100" i="11"/>
  <c r="D103" i="11"/>
  <c r="D154" i="20"/>
  <c r="D156" i="20" s="1"/>
  <c r="D136" i="20"/>
  <c r="D137" i="20" s="1"/>
  <c r="D103" i="13"/>
  <c r="D104" i="13"/>
  <c r="D101" i="13"/>
  <c r="D100" i="13"/>
  <c r="D104" i="12"/>
  <c r="D100" i="12"/>
  <c r="D99" i="12"/>
  <c r="D102" i="12"/>
  <c r="D101" i="12"/>
  <c r="D140" i="17"/>
  <c r="D143" i="17"/>
  <c r="D141" i="17"/>
  <c r="D144" i="17"/>
  <c r="D154" i="15"/>
  <c r="D156" i="15" s="1"/>
  <c r="D136" i="15"/>
  <c r="D137" i="15" s="1"/>
  <c r="D141" i="15" s="1"/>
  <c r="C98" i="1"/>
  <c r="D104" i="11" l="1"/>
  <c r="D117" i="11" s="1"/>
  <c r="D119" i="11" s="1"/>
  <c r="D153" i="11" s="1"/>
  <c r="D155" i="11" s="1"/>
  <c r="D105" i="13"/>
  <c r="D118" i="13" s="1"/>
  <c r="D120" i="13" s="1"/>
  <c r="D154" i="13" s="1"/>
  <c r="D156" i="13" s="1"/>
  <c r="D143" i="20"/>
  <c r="D140" i="20"/>
  <c r="D141" i="20"/>
  <c r="D144" i="20"/>
  <c r="D142" i="20"/>
  <c r="D105" i="12"/>
  <c r="D118" i="12" s="1"/>
  <c r="D120" i="12" s="1"/>
  <c r="D136" i="12" s="1"/>
  <c r="D138" i="17"/>
  <c r="D145" i="17" s="1"/>
  <c r="D157" i="17" s="1"/>
  <c r="D158" i="17" s="1"/>
  <c r="D142" i="15"/>
  <c r="D144" i="15"/>
  <c r="D143" i="15"/>
  <c r="D140" i="15"/>
  <c r="C138" i="1"/>
  <c r="D155" i="1"/>
  <c r="C39" i="1"/>
  <c r="D26" i="1"/>
  <c r="D31" i="1" s="1"/>
  <c r="D135" i="11" l="1"/>
  <c r="D136" i="11" s="1"/>
  <c r="D139" i="11" s="1"/>
  <c r="D136" i="13"/>
  <c r="D137" i="13" s="1"/>
  <c r="D144" i="13" s="1"/>
  <c r="D154" i="12"/>
  <c r="D156" i="12" s="1"/>
  <c r="D138" i="20"/>
  <c r="D145" i="20" s="1"/>
  <c r="D157" i="20" s="1"/>
  <c r="D158" i="20" s="1"/>
  <c r="D6" i="14"/>
  <c r="D159" i="17"/>
  <c r="D160" i="17" s="1"/>
  <c r="D138" i="15"/>
  <c r="D145" i="15" s="1"/>
  <c r="D157" i="15" s="1"/>
  <c r="D158" i="15" s="1"/>
  <c r="D159" i="15" s="1"/>
  <c r="D137" i="12"/>
  <c r="D111" i="1"/>
  <c r="D118" i="1" s="1"/>
  <c r="D40" i="1"/>
  <c r="D41" i="1"/>
  <c r="D39" i="1"/>
  <c r="D69" i="1"/>
  <c r="D77" i="1" s="1"/>
  <c r="D151" i="1"/>
  <c r="D143" i="13" l="1"/>
  <c r="D142" i="11"/>
  <c r="D143" i="11"/>
  <c r="D141" i="11"/>
  <c r="D140" i="11"/>
  <c r="D137" i="11" s="1"/>
  <c r="D144" i="11" s="1"/>
  <c r="D156" i="11" s="1"/>
  <c r="D157" i="11" s="1"/>
  <c r="D140" i="13"/>
  <c r="D142" i="13"/>
  <c r="D141" i="13"/>
  <c r="D8" i="14"/>
  <c r="G8" i="14" s="1"/>
  <c r="I8" i="14" s="1"/>
  <c r="D159" i="20"/>
  <c r="D160" i="15"/>
  <c r="D141" i="12"/>
  <c r="D140" i="12"/>
  <c r="D142" i="12"/>
  <c r="D143" i="12"/>
  <c r="D144" i="12"/>
  <c r="D42" i="1"/>
  <c r="D138" i="13" l="1"/>
  <c r="D145" i="13" s="1"/>
  <c r="D157" i="13" s="1"/>
  <c r="D158" i="13" s="1"/>
  <c r="D159" i="13" s="1"/>
  <c r="D160" i="13" s="1"/>
  <c r="D160" i="20"/>
  <c r="D7" i="14"/>
  <c r="G7" i="14" s="1"/>
  <c r="I7" i="14" s="1"/>
  <c r="I21" i="14" s="1"/>
  <c r="D158" i="11"/>
  <c r="D159" i="11" s="1"/>
  <c r="D9" i="14"/>
  <c r="G9" i="14" s="1"/>
  <c r="I9" i="14" s="1"/>
  <c r="D48" i="1"/>
  <c r="D138" i="12"/>
  <c r="D145" i="12" s="1"/>
  <c r="D157" i="12" s="1"/>
  <c r="D158" i="12" s="1"/>
  <c r="D10" i="14" s="1"/>
  <c r="D75" i="1"/>
  <c r="D52" i="1"/>
  <c r="D53" i="1"/>
  <c r="D54" i="1"/>
  <c r="D50" i="1"/>
  <c r="D51" i="1"/>
  <c r="D49" i="1"/>
  <c r="D55" i="1"/>
  <c r="D12" i="14" l="1"/>
  <c r="G12" i="14" s="1"/>
  <c r="I12" i="14" s="1"/>
  <c r="D85" i="1"/>
  <c r="D87" i="1"/>
  <c r="D84" i="1"/>
  <c r="D88" i="1"/>
  <c r="D86" i="1"/>
  <c r="D89" i="1"/>
  <c r="D159" i="12"/>
  <c r="D160" i="12" s="1"/>
  <c r="G10" i="14"/>
  <c r="I10" i="14" s="1"/>
  <c r="D56" i="1"/>
  <c r="D76" i="1" s="1"/>
  <c r="D78" i="1" s="1"/>
  <c r="I24" i="14" l="1"/>
  <c r="I25" i="14" s="1"/>
  <c r="I27" i="14" s="1"/>
  <c r="D90" i="1"/>
  <c r="D153" i="1" s="1"/>
  <c r="D152" i="1"/>
  <c r="D103" i="1" l="1"/>
  <c r="D99" i="1"/>
  <c r="D98" i="1"/>
  <c r="D102" i="1"/>
  <c r="D100" i="1"/>
  <c r="D101" i="1"/>
  <c r="D104" i="1" l="1"/>
  <c r="D117" i="1" s="1"/>
  <c r="D119" i="1" s="1"/>
  <c r="D154" i="1" l="1"/>
  <c r="D156" i="1" s="1"/>
  <c r="D136" i="1"/>
  <c r="D137" i="1" s="1"/>
  <c r="D142" i="1" s="1"/>
  <c r="D140" i="1" l="1"/>
  <c r="D141" i="1"/>
  <c r="D144" i="1"/>
  <c r="D143" i="1"/>
  <c r="D138" i="1" l="1"/>
  <c r="D145" i="1" s="1"/>
  <c r="D157" i="1" s="1"/>
  <c r="D158" i="1" s="1"/>
  <c r="D159" i="1" s="1"/>
  <c r="D5" i="14" l="1"/>
  <c r="G5" i="14" s="1"/>
  <c r="I5" i="14" s="1"/>
  <c r="G6" i="14"/>
  <c r="I6" i="14" s="1"/>
  <c r="D160" i="1"/>
  <c r="I19" i="14" l="1"/>
  <c r="I20" i="14" s="1"/>
  <c r="I22" i="14" s="1"/>
  <c r="I13" i="14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A5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</commentList>
</comments>
</file>

<file path=xl/comments10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4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5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6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7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8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9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sharedStrings.xml><?xml version="1.0" encoding="utf-8"?>
<sst xmlns="http://schemas.openxmlformats.org/spreadsheetml/2006/main" count="2828" uniqueCount="368">
  <si>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</si>
  <si>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</si>
  <si>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</si>
  <si>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</si>
  <si>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</si>
  <si>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</si>
  <si>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</si>
  <si>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</si>
  <si>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</si>
  <si>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</si>
  <si>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</si>
  <si>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</si>
  <si>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</si>
  <si>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</si>
  <si>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</si>
  <si>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</si>
  <si>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</si>
  <si>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</si>
  <si>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</si>
  <si>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</si>
  <si>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</si>
  <si>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</si>
  <si>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</si>
  <si>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</si>
  <si>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</si>
  <si>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</si>
  <si>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</si>
  <si>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</si>
  <si>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</si>
  <si>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</si>
  <si>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</si>
  <si>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</si>
  <si>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</si>
  <si>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</si>
  <si>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</si>
  <si>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</si>
  <si>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</si>
  <si>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</si>
  <si>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</si>
  <si>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</si>
  <si>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</si>
  <si>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</si>
  <si>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</si>
  <si>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</si>
  <si>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</si>
  <si>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</si>
  <si>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</si>
  <si>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</si>
  <si>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</si>
  <si>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</si>
  <si>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</si>
  <si>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</si>
  <si>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</si>
  <si>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</si>
  <si>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</si>
  <si>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</si>
  <si>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</si>
  <si>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</si>
  <si>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</si>
  <si>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</si>
  <si>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</si>
  <si>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</si>
  <si>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</si>
  <si>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</si>
  <si>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</si>
  <si>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</si>
  <si>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</si>
  <si>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</si>
  <si>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</si>
  <si>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</si>
  <si>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</si>
  <si>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</si>
  <si>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</si>
  <si>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</si>
  <si>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</si>
  <si>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</si>
  <si>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</si>
  <si>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</si>
  <si>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</si>
  <si>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</si>
  <si>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</si>
  <si>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</si>
  <si>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</si>
  <si>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</si>
  <si>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</si>
  <si>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</si>
  <si>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</si>
  <si>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</si>
  <si>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</si>
  <si>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</si>
  <si>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</si>
  <si>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</si>
  <si>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</si>
  <si>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</si>
  <si>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</si>
  <si>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</si>
  <si>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</si>
  <si>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</si>
  <si>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</si>
  <si>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</si>
  <si>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</si>
  <si>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</si>
  <si>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</si>
  <si>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</si>
  <si>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Limpeza e Conservação Predial</t>
  </si>
  <si>
    <t>Gratificação por assiduidade</t>
  </si>
  <si>
    <t>Cesta básica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</si>
  <si>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</si>
  <si>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</si>
  <si>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</si>
  <si>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</si>
  <si>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</si>
  <si>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</si>
  <si>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</si>
  <si>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</si>
  <si>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</si>
  <si>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</si>
  <si>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</si>
  <si>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</si>
  <si>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</si>
  <si>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</si>
  <si>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</si>
  <si>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44h</t>
  </si>
  <si>
    <t>40h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</si>
  <si>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</si>
  <si>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</si>
  <si>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</si>
  <si>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</si>
  <si>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</si>
  <si>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</si>
  <si>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</si>
  <si>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</si>
  <si>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</si>
  <si>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</si>
  <si>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</si>
  <si>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</si>
  <si>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</si>
  <si>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</si>
  <si>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</si>
  <si>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</si>
  <si>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</si>
  <si>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</si>
  <si>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</si>
  <si>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</si>
  <si>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</si>
  <si>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</si>
  <si>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</si>
  <si>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</si>
  <si>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</si>
  <si>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Art. 15, Lei nº 8.036/90 e Art. 7º, III, CF.</t>
  </si>
  <si>
    <t>Art. 7º, VIII, CF/89</t>
  </si>
  <si>
    <t>Súmula nº 305 do TST</t>
  </si>
  <si>
    <t>Conforme item 2.2</t>
  </si>
  <si>
    <t>Servente de Limpeza</t>
  </si>
  <si>
    <t>Ausência por doença</t>
  </si>
  <si>
    <t>EPI's</t>
  </si>
  <si>
    <t>Função</t>
  </si>
  <si>
    <t>Copeira</t>
  </si>
  <si>
    <t>Jardineiro</t>
  </si>
  <si>
    <t>Auxiliar de Jardinagem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</si>
  <si>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</si>
  <si>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</si>
  <si>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</si>
  <si>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</si>
  <si>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</si>
  <si>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</si>
  <si>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</si>
  <si>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</si>
  <si>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</si>
  <si>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</si>
  <si>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</si>
  <si>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</si>
  <si>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</si>
  <si>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</si>
  <si>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</si>
  <si>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</si>
  <si>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</si>
  <si>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</si>
  <si>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</si>
  <si>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</si>
  <si>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</si>
  <si>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Afastamento maternidade</t>
  </si>
  <si>
    <t>III</t>
  </si>
  <si>
    <t>IV</t>
  </si>
  <si>
    <t>Líder</t>
  </si>
  <si>
    <t>V</t>
  </si>
  <si>
    <t>Lote 01 - Limpeza</t>
  </si>
  <si>
    <t>Lote 02 - Jardinagem</t>
  </si>
  <si>
    <t>Nº de Empregados por posto</t>
  </si>
  <si>
    <t>Apresentar composição detalhada</t>
  </si>
  <si>
    <t>Outros(especificar)</t>
  </si>
  <si>
    <t>Outros (especificar)</t>
  </si>
  <si>
    <t>Outros(Especificar)</t>
  </si>
  <si>
    <t>Base utiliza a depreciação.</t>
  </si>
  <si>
    <t>Salário Mínimo Vigente:</t>
  </si>
  <si>
    <t>Unidade</t>
  </si>
  <si>
    <t>Qtde médio Mensal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</si>
  <si>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</si>
  <si>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</si>
  <si>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</si>
  <si>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</si>
  <si>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</si>
  <si>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</si>
  <si>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</si>
  <si>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</si>
  <si>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</si>
  <si>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</si>
  <si>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</si>
  <si>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</si>
  <si>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</si>
  <si>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</si>
  <si>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</si>
  <si>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</si>
  <si>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Servente de Limpeza - Banheiro</t>
  </si>
  <si>
    <t>PCMSO</t>
  </si>
  <si>
    <t>Gratificação a Copeira (30%)</t>
  </si>
  <si>
    <t>Clásula Décima Primeira</t>
  </si>
  <si>
    <t>Clásula Décima Terceira, §1º a §4º</t>
  </si>
  <si>
    <t>Clásula Décima Quinta</t>
  </si>
  <si>
    <t>Balde plástico preto com capacidade p/12 litros</t>
  </si>
  <si>
    <t>Desentupidor de vaso sanitário</t>
  </si>
  <si>
    <t>Escada de 10 (dez) degraus</t>
  </si>
  <si>
    <t>Espanador de Penas 65cm</t>
  </si>
  <si>
    <t>Escova de Lavar Roupa</t>
  </si>
  <si>
    <t>Escova para lavar vaso sanitário</t>
  </si>
  <si>
    <t>Escovão Bandeirantes</t>
  </si>
  <si>
    <t>Kit completo para limpeza de vidros</t>
  </si>
  <si>
    <t>Rodo Limpa Vidro 2 em 1</t>
  </si>
  <si>
    <t>Rodo de borracha dupla de 60 cm com cabo de madeira de 120 cm</t>
  </si>
  <si>
    <t>Pá de lixo, em plástico, com cabo longo</t>
  </si>
  <si>
    <t>Placas sinalizadoras "Piso Molhado"</t>
  </si>
  <si>
    <t>Vassoura c/ Cerda Sintética de 40 cm</t>
  </si>
  <si>
    <t>Vassoura de Piaçava com cabo</t>
  </si>
  <si>
    <t>Vassoura de teto vasculha com cabo</t>
  </si>
  <si>
    <t>Unidade(s)</t>
  </si>
  <si>
    <t>Água Sanitária 5L</t>
  </si>
  <si>
    <t>Cera para piso vinilicos( cerâmicas vitrificadas, madeira, laminados)</t>
  </si>
  <si>
    <t>Desodorizador 360ml Ultra Fresh Lavanda</t>
  </si>
  <si>
    <t>Detergente Ácido 5L (Remonox)</t>
  </si>
  <si>
    <t>Detergente Limp. Sanitários 500ml- Limpador multiuso</t>
  </si>
  <si>
    <t>Detergente para cozinha de 500ml</t>
  </si>
  <si>
    <t>Detergente SH 7000 5L</t>
  </si>
  <si>
    <t>Disco 350mm Removedor Preto</t>
  </si>
  <si>
    <t>Disco amarelo para lavar piso</t>
  </si>
  <si>
    <t>Disco branco para lavar piso</t>
  </si>
  <si>
    <t>Esponja Dupla Face</t>
  </si>
  <si>
    <t>Flanela branco, medindo 40x60cm, 100% algodão</t>
  </si>
  <si>
    <t>Herbicida 1L</t>
  </si>
  <si>
    <t>Lã de aço, pacote com 8 unidades</t>
  </si>
  <si>
    <t>Limpa Inox 500ml</t>
  </si>
  <si>
    <t>Limpa Vidros 5lt</t>
  </si>
  <si>
    <t>Lustra Móveis de 500ml</t>
  </si>
  <si>
    <t>Multi-Inseticida 500ml</t>
  </si>
  <si>
    <t>Pano de Copa liso, 100% algodão cor Branco tamanho 40x68cm</t>
  </si>
  <si>
    <t>Pano Multiuso</t>
  </si>
  <si>
    <t>Papel higiênico rolão, folha dupla, na cor branca, gramatura 28, 100% celulose virgem, Rolo com 300 metros (fardo c/ 08 rolos)</t>
  </si>
  <si>
    <t>Papel toalha Inter folhado, na cor branca, gramatura 27, Celulose 100% virgens, fardo c/ 08 pacotes de 1.000 fls.</t>
  </si>
  <si>
    <t>Pedra Sanitária 25gr</t>
  </si>
  <si>
    <t>Sabão em pó pacote com 2Kg</t>
  </si>
  <si>
    <t>Saco Alvejado 100% Algodão 48x78</t>
  </si>
  <si>
    <t>Soda Cáustica 1Kg</t>
  </si>
  <si>
    <t>Unidade (s)</t>
  </si>
  <si>
    <t>Pacote</t>
  </si>
  <si>
    <t>Fardo(s)</t>
  </si>
  <si>
    <t>Aspirador de pó e agua, tipo industrial</t>
  </si>
  <si>
    <t>Enceradeira Industrial para lavagem, com escova de 400 mm</t>
  </si>
  <si>
    <t>Máquina de limpeza de alta pressão - Karcher ou similar</t>
  </si>
  <si>
    <t>Cinta coluna postural</t>
  </si>
  <si>
    <t>Bota de PVC Cano Curto</t>
  </si>
  <si>
    <t>Par(es)</t>
  </si>
  <si>
    <t xml:space="preserve">Camiseta malha fria, com gola esporte e emblema da empresa. </t>
  </si>
  <si>
    <t xml:space="preserve">Calça comprida com elástico e cordão, em gabardine. </t>
  </si>
  <si>
    <t>Meia em algodão, tipo soquete</t>
  </si>
  <si>
    <t>Crachá com foto e logo da empresa</t>
  </si>
  <si>
    <t>Valor Total da Diária</t>
  </si>
  <si>
    <t>Considera 22 dias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</si>
  <si>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</si>
  <si>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</si>
  <si>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</si>
  <si>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</si>
  <si>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</si>
  <si>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</si>
  <si>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</si>
  <si>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</si>
  <si>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</si>
  <si>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</si>
  <si>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</si>
  <si>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</si>
  <si>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</si>
  <si>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</si>
  <si>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</si>
  <si>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</si>
  <si>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</si>
  <si>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</si>
  <si>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</si>
  <si>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</si>
  <si>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–</t>
  </si>
  <si>
    <t>5a Faixa, com alíquota efetiva superior a 12,5%</t>
  </si>
  <si>
    <t xml:space="preserve"> </t>
  </si>
  <si>
    <t>Simples Nacional</t>
  </si>
  <si>
    <t>Lucro Presumido</t>
  </si>
  <si>
    <t>Regime Tributário:</t>
  </si>
  <si>
    <t>Lucro Real</t>
  </si>
  <si>
    <t>Alíquota do ISS</t>
  </si>
  <si>
    <t>Jardineiro - Diária</t>
  </si>
  <si>
    <t>Servente de Limpeza - Diária</t>
  </si>
  <si>
    <t>Valor global das diárias (valor da diária multiplicado pelo quantidade de diárias estimadas).</t>
  </si>
  <si>
    <t>Blusa Social manga curta, gola esporte, na cor branca, tecido popeline</t>
  </si>
  <si>
    <t>Calça comprida social na cor preta</t>
  </si>
  <si>
    <t>Touca copeira com tela em algodão 100%</t>
  </si>
  <si>
    <t>Avental Impermeável Preto</t>
  </si>
  <si>
    <t>Meia cano curto 100% algodão</t>
  </si>
  <si>
    <t>Cabo Telescópio, ajustável, com 10 m, com encaixe para mangueira</t>
  </si>
  <si>
    <t>Carrinho de mão (pneu com câmara)</t>
  </si>
  <si>
    <t>Enxada com cabo (tamanho médio)</t>
  </si>
  <si>
    <t>Facão (médio)</t>
  </si>
  <si>
    <t>Fio de Nylon p/ Roçadeira Rolo 50 metros</t>
  </si>
  <si>
    <t>Machado</t>
  </si>
  <si>
    <t>Pulverizador, cilindro metálico mínimo 10 litros</t>
  </si>
  <si>
    <t>Rastelo Pavão de Ferro Tamanho Grande com cabo</t>
  </si>
  <si>
    <t>Roçadeira com fio de nylon (a gasolina) , com ignição eletrônica, sistema anti-vibratório e cinturão e óculos de proteção, modelo referência sthil FS 220 ou similar</t>
  </si>
  <si>
    <t>Pá de bico metálica com cabo de madeira de 1.20cm</t>
  </si>
  <si>
    <t>Rodo de borracha dupla de 40 cm com cabo de 120 cm</t>
  </si>
  <si>
    <t>Mangueira de "1 polegada de" 50 m para lavagem de piso e regar plantas</t>
  </si>
  <si>
    <t>Mangueira de “1 polegada de " 100 m para lavagem de piso regar plantas</t>
  </si>
  <si>
    <t>Adaptador L/R ,atender os itens 17 e 18 modelo referência Sisson ou similar</t>
  </si>
  <si>
    <t>Redução para atender os itens 17 e 18</t>
  </si>
  <si>
    <t>Cabo telescópico de 2m</t>
  </si>
  <si>
    <t>Álcool 70% gel higienizante de 710 gramas-refil utilizado em dispensers tipo saboneteira 800 ml.</t>
  </si>
  <si>
    <t>Desinfetante a base de lavanda (5L)</t>
  </si>
  <si>
    <t>Detergente de limpeza em geral 5L tipo industrial</t>
  </si>
  <si>
    <t>Fibra de limpeza pesada 102 x 260 Bandeirantes</t>
  </si>
  <si>
    <t>Palha de Aço (pacote com 01 unidade)</t>
  </si>
  <si>
    <t>Sabão em barra (pacote c/ 5 unidades x 200g)</t>
  </si>
  <si>
    <t>Sabonete Líquido (de odor agradável), com ph neutro concentrado 5L</t>
  </si>
  <si>
    <t>Saco descartavel para aspirador de pó</t>
  </si>
  <si>
    <t>Saco de Lixo 20L 40X59 Fardo com 50 unidades</t>
  </si>
  <si>
    <t>Saco de Lixo 40L 60X62 Fardo com 50 unidades</t>
  </si>
  <si>
    <t>Saco de Lixo 60L 63X80 Fardo com 100 unidades</t>
  </si>
  <si>
    <t>Saco de Lixo 100L 70X 90 Fardo com 100 unidades (Micra mínima 7)</t>
  </si>
  <si>
    <t>Saco de Lixo 200L 90X110 Fardo com 100 unidades (Micra mínima 9)</t>
  </si>
  <si>
    <t>Herbicida Mata Mato</t>
  </si>
  <si>
    <t>Veneno para formigas</t>
  </si>
  <si>
    <t>Herbicida para matar “mata rato” Marca de referência Rodilon Isca Bloco Extrusado Bayer 1 Kg</t>
  </si>
  <si>
    <t>Avental térmico impermeabilizante</t>
  </si>
  <si>
    <t>Luva de segurança látex multiuso amarela</t>
  </si>
  <si>
    <t>Bota PVC c/forro cor preta c/solado especial cor amarelo ou branca</t>
  </si>
  <si>
    <t>Chapéu apropriado para jardim com abas na lateral para proteção do sol</t>
  </si>
  <si>
    <t>Luva PVC sem forro com 46 cm</t>
  </si>
  <si>
    <t>Luva raspa couro cano curto c/reforço</t>
  </si>
  <si>
    <t>Máscara de proteção respiratória c/filtro de carvão ativado para uso com produtos químicos</t>
  </si>
  <si>
    <t>Máscara descartável p/poeiras e névoas tóxicas.</t>
  </si>
  <si>
    <t>Óculos de proteção lente incolor em policarbonato, ante embaçante e anti-risco.</t>
  </si>
  <si>
    <t>Protetor auricular tipo plug em silicone.</t>
  </si>
  <si>
    <t>Protetor solar fator 50 com 400ml</t>
  </si>
  <si>
    <t>Blusa Social manga curta, gola esporte, tecido popeline</t>
  </si>
  <si>
    <t>Calça comprida social</t>
  </si>
  <si>
    <t>Calça comprida em tecido brim, com bolsos tipo sacola 32 cm nas laterais.</t>
  </si>
  <si>
    <t>Camiseta malha fria PV, manga longa, gola V, com emblema da empresa.</t>
  </si>
  <si>
    <t>Botina de couro</t>
  </si>
  <si>
    <t>Boné confeccionado em tecido de brim, com abas laterais, com logomarca da empresa.</t>
  </si>
  <si>
    <t>Meia de algodão preta.</t>
  </si>
  <si>
    <t>Avental impermeável de Jardinagem</t>
  </si>
  <si>
    <t>Utensílios</t>
  </si>
  <si>
    <t>Gratificação de Líder</t>
  </si>
  <si>
    <t>Valor global do lote</t>
  </si>
  <si>
    <t>Valor global do posto fixo (valor mensal do serviço multiplicado pelo número de meses do contrato).</t>
  </si>
  <si>
    <t>Utensilhos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</si>
</sst>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1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4" xfId="0" applyFont="1" applyFill="1" applyBorder="1"/>
    <xf numFmtId="43" fontId="4" fillId="5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3" fontId="15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0" borderId="5" xfId="0" applyFont="1" applyBorder="1"/>
    <xf numFmtId="43" fontId="2" fillId="0" borderId="0" xfId="0" applyNumberFormat="1" applyFont="1"/>
    <xf numFmtId="0" fontId="4" fillId="6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top" wrapText="1"/>
    </xf>
    <xf numFmtId="44" fontId="7" fillId="0" borderId="4" xfId="0" applyNumberFormat="1" applyFont="1" applyBorder="1" applyAlignment="1">
      <alignment horizontal="center"/>
    </xf>
    <xf numFmtId="44" fontId="1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6" fillId="5" borderId="4" xfId="0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10" fontId="7" fillId="0" borderId="4" xfId="2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21" fillId="0" borderId="0" xfId="4"/>
    <xf numFmtId="0" fontId="24" fillId="4" borderId="4" xfId="5" applyFont="1" applyFill="1" applyBorder="1" applyAlignment="1">
      <alignment horizontal="center" vertical="center" wrapText="1"/>
    </xf>
    <xf numFmtId="44" fontId="24" fillId="4" borderId="4" xfId="5" applyNumberFormat="1" applyFont="1" applyFill="1" applyBorder="1" applyAlignment="1">
      <alignment horizontal="center" wrapText="1"/>
    </xf>
    <xf numFmtId="0" fontId="24" fillId="4" borderId="4" xfId="5" applyFont="1" applyFill="1" applyBorder="1" applyAlignment="1">
      <alignment horizontal="center" wrapText="1"/>
    </xf>
    <xf numFmtId="17" fontId="23" fillId="0" borderId="4" xfId="5" applyNumberFormat="1" applyFont="1" applyFill="1" applyBorder="1"/>
    <xf numFmtId="44" fontId="23" fillId="0" borderId="4" xfId="5" applyNumberFormat="1" applyFont="1" applyBorder="1" applyAlignment="1">
      <alignment horizontal="center"/>
    </xf>
    <xf numFmtId="0" fontId="23" fillId="0" borderId="4" xfId="5" applyFont="1" applyBorder="1" applyAlignment="1">
      <alignment horizontal="center"/>
    </xf>
    <xf numFmtId="165" fontId="23" fillId="0" borderId="4" xfId="6" applyFont="1" applyFill="1" applyBorder="1"/>
    <xf numFmtId="43" fontId="23" fillId="0" borderId="4" xfId="5" applyNumberFormat="1" applyFont="1" applyFill="1" applyBorder="1"/>
    <xf numFmtId="166" fontId="23" fillId="0" borderId="4" xfId="7" applyFont="1" applyFill="1" applyBorder="1"/>
    <xf numFmtId="10" fontId="23" fillId="0" borderId="4" xfId="8" applyNumberFormat="1" applyFont="1" applyFill="1" applyBorder="1"/>
    <xf numFmtId="44" fontId="23" fillId="0" borderId="4" xfId="7" applyNumberFormat="1" applyFont="1" applyFill="1" applyBorder="1"/>
    <xf numFmtId="165" fontId="1" fillId="0" borderId="0" xfId="6" applyFont="1"/>
    <xf numFmtId="10" fontId="24" fillId="4" borderId="4" xfId="5" applyNumberFormat="1" applyFont="1" applyFill="1" applyBorder="1" applyAlignment="1">
      <alignment vertical="center"/>
    </xf>
    <xf numFmtId="0" fontId="23" fillId="0" borderId="0" xfId="5" applyFont="1"/>
    <xf numFmtId="44" fontId="23" fillId="0" borderId="0" xfId="5" applyNumberFormat="1" applyFont="1"/>
    <xf numFmtId="44" fontId="24" fillId="4" borderId="4" xfId="5" applyNumberFormat="1" applyFont="1" applyFill="1" applyBorder="1" applyAlignment="1">
      <alignment horizontal="center" vertical="center" wrapText="1"/>
    </xf>
    <xf numFmtId="0" fontId="23" fillId="0" borderId="4" xfId="5" applyFont="1" applyBorder="1"/>
    <xf numFmtId="44" fontId="21" fillId="0" borderId="4" xfId="4" applyNumberFormat="1" applyFont="1" applyBorder="1"/>
    <xf numFmtId="10" fontId="24" fillId="4" borderId="0" xfId="5" applyNumberFormat="1" applyFont="1" applyFill="1" applyBorder="1"/>
    <xf numFmtId="0" fontId="21" fillId="4" borderId="0" xfId="4" applyFill="1"/>
    <xf numFmtId="0" fontId="23" fillId="4" borderId="0" xfId="3" applyFont="1" applyFill="1"/>
    <xf numFmtId="44" fontId="23" fillId="4" borderId="0" xfId="3" applyNumberFormat="1" applyFont="1" applyFill="1"/>
    <xf numFmtId="10" fontId="25" fillId="4" borderId="0" xfId="3" applyNumberFormat="1" applyFont="1" applyFill="1"/>
    <xf numFmtId="0" fontId="21" fillId="0" borderId="0" xfId="3"/>
    <xf numFmtId="44" fontId="21" fillId="0" borderId="0" xfId="3" applyNumberFormat="1"/>
    <xf numFmtId="14" fontId="21" fillId="0" borderId="0" xfId="4" applyNumberForma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3" fillId="0" borderId="4" xfId="0" applyFont="1" applyBorder="1"/>
    <xf numFmtId="0" fontId="26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0" fillId="7" borderId="4" xfId="0" applyFont="1" applyFill="1" applyBorder="1"/>
    <xf numFmtId="167" fontId="0" fillId="7" borderId="4" xfId="1" applyNumberFormat="1" applyFont="1" applyFill="1" applyBorder="1" applyAlignment="1"/>
    <xf numFmtId="43" fontId="0" fillId="7" borderId="4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0" fillId="0" borderId="4" xfId="0" applyBorder="1" applyAlignment="1"/>
    <xf numFmtId="0" fontId="27" fillId="8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7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9" fontId="2" fillId="0" borderId="0" xfId="0" applyNumberFormat="1" applyFont="1"/>
    <xf numFmtId="9" fontId="16" fillId="0" borderId="4" xfId="2" applyFont="1" applyBorder="1" applyAlignment="1">
      <alignment horizontal="center"/>
    </xf>
    <xf numFmtId="0" fontId="17" fillId="0" borderId="4" xfId="0" applyFont="1" applyFill="1" applyBorder="1" applyAlignment="1">
      <alignment horizontal="center" vertical="top" wrapText="1"/>
    </xf>
    <xf numFmtId="8" fontId="2" fillId="0" borderId="4" xfId="1" applyNumberFormat="1" applyFont="1" applyBorder="1"/>
    <xf numFmtId="0" fontId="4" fillId="6" borderId="8" xfId="0" applyFont="1" applyFill="1" applyBorder="1" applyAlignment="1">
      <alignment vertical="center" wrapText="1"/>
    </xf>
    <xf numFmtId="0" fontId="28" fillId="9" borderId="4" xfId="0" applyFont="1" applyFill="1" applyBorder="1" applyAlignment="1">
      <alignment wrapText="1"/>
    </xf>
    <xf numFmtId="0" fontId="29" fillId="9" borderId="4" xfId="0" applyFont="1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2" fillId="0" borderId="6" xfId="0" applyFont="1" applyBorder="1" applyAlignment="1">
      <alignment horizontal="center"/>
    </xf>
    <xf numFmtId="8" fontId="0" fillId="0" borderId="4" xfId="1" applyNumberFormat="1" applyFont="1" applyBorder="1"/>
    <xf numFmtId="8" fontId="3" fillId="0" borderId="4" xfId="1" applyNumberFormat="1" applyFont="1" applyBorder="1"/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8" fontId="2" fillId="0" borderId="4" xfId="0" applyNumberFormat="1" applyFont="1" applyBorder="1"/>
    <xf numFmtId="0" fontId="6" fillId="0" borderId="4" xfId="0" applyFont="1" applyBorder="1"/>
    <xf numFmtId="0" fontId="6" fillId="0" borderId="0" xfId="0" applyFont="1"/>
    <xf numFmtId="0" fontId="5" fillId="3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</xf>
    <xf numFmtId="4" fontId="12" fillId="0" borderId="4" xfId="0" applyNumberFormat="1" applyFont="1" applyBorder="1" applyAlignment="1">
      <alignment horizontal="center"/>
    </xf>
    <xf numFmtId="43" fontId="12" fillId="0" borderId="4" xfId="0" applyNumberFormat="1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4" fillId="4" borderId="4" xfId="5" applyFont="1" applyFill="1" applyBorder="1" applyAlignment="1">
      <alignment horizontal="center" vertical="center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23" fillId="0" borderId="6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2" fillId="0" borderId="2" xfId="3" applyFont="1" applyBorder="1" applyAlignment="1">
      <alignment horizontal="center"/>
    </xf>
    <xf numFmtId="0" fontId="24" fillId="4" borderId="8" xfId="5" applyFont="1" applyFill="1" applyBorder="1" applyAlignment="1">
      <alignment horizontal="center" vertical="center" wrapText="1"/>
    </xf>
    <xf numFmtId="0" fontId="24" fillId="4" borderId="5" xfId="5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2" fillId="0" borderId="0" xfId="0" applyFont="1" applyBorder="1"/>
    <xf numFmtId="43" fontId="2" fillId="0" borderId="0" xfId="1" applyFont="1" applyBorder="1"/>
    <xf numFmtId="43" fontId="2" fillId="0" borderId="0" xfId="0" applyNumberFormat="1" applyFont="1" applyBorder="1"/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ela1" displayName="Tabela1" ref="D5:H11" totalsRowShown="0" headerRowDxfId="24" headerRowBorderDxfId="23" tableBorderDxfId="22" totalsRowBorderDxfId="21">
  <autoFilter ref="D5:H11"/>
  <tableColumns count="5">
    <tableColumn id="1" name="Faixa" dataDxfId="20"/>
    <tableColumn id="2" name="Faturamento anual (R$)" dataDxfId="19" dataCellStyle="Vírgula"/>
    <tableColumn id="3" name="Coluna1" dataDxfId="18" dataCellStyle="Vírgula"/>
    <tableColumn id="4" name="Alíquota (%)" dataDxfId="17"/>
    <tableColumn id="5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15:I21" totalsRowShown="0">
  <autoFilter ref="E15:I21"/>
  <tableColumns count="5">
    <tableColumn id="1" name="ISS" dataDxfId="15"/>
    <tableColumn id="2" name="CSLL" dataDxfId="14"/>
    <tableColumn id="3" name="IRPJ" dataDxfId="13"/>
    <tableColumn id="4" name="Cofins" dataDxfId="12"/>
    <tableColumn id="5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22:I23" totalsRowShown="0" dataDxfId="10">
  <autoFilter ref="E22:I23"/>
  <tableColumns count="5">
    <tableColumn id="1" name="ISS" dataDxfId="9" totalsRowDxfId="8"/>
    <tableColumn id="2" name="CSLL" dataDxfId="7" totalsRowDxfId="6"/>
    <tableColumn id="3" name="IRPJ" dataDxfId="5" totalsRowDxfId="4"/>
    <tableColumn id="4" name="Cofins" dataDxfId="3" totalsRowDxfId="2"/>
    <tableColumn id="5" name="PIS/Pasep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"/>
    </sheetView>
  </sheetViews>
  <sheetFormatPr defaultRowHeight="15" x14ac:dyDescent="0.25"/>
  <cols>
    <col min="1" max="1" width="22.28515625" bestFit="1" customWidth="1"/>
    <col min="2" max="2" width="21.140625" customWidth="1"/>
    <col min="11" max="11" width="16" hidden="1" customWidth="1"/>
  </cols>
  <sheetData>
    <row r="1" spans="1:12" x14ac:dyDescent="0.25">
      <c r="A1" s="53"/>
      <c r="B1" s="53"/>
    </row>
    <row r="2" spans="1:12" ht="15.75" x14ac:dyDescent="0.25">
      <c r="A2" s="49" t="s">
        <v>124</v>
      </c>
      <c r="B2" s="50" t="s">
        <v>122</v>
      </c>
      <c r="C2" s="1"/>
      <c r="D2" s="46" t="s">
        <v>123</v>
      </c>
      <c r="E2" s="1"/>
      <c r="F2" s="1"/>
      <c r="G2" s="1"/>
      <c r="H2" s="1"/>
      <c r="I2" s="1"/>
      <c r="J2" s="1"/>
      <c r="K2" s="1" t="s">
        <v>299</v>
      </c>
      <c r="L2" s="1"/>
    </row>
    <row r="3" spans="1:12" ht="15.75" x14ac:dyDescent="0.25">
      <c r="A3" s="49" t="s">
        <v>194</v>
      </c>
      <c r="B3" s="52">
        <v>1212</v>
      </c>
      <c r="C3" s="15" t="s">
        <v>85</v>
      </c>
      <c r="D3" s="1"/>
      <c r="E3" s="1"/>
      <c r="F3" s="1"/>
      <c r="G3" s="1"/>
      <c r="H3" s="1"/>
      <c r="I3" s="1"/>
      <c r="J3" s="1"/>
      <c r="K3" s="1" t="s">
        <v>300</v>
      </c>
      <c r="L3" s="1"/>
    </row>
    <row r="4" spans="1:12" ht="15.75" x14ac:dyDescent="0.25">
      <c r="A4" s="49" t="s">
        <v>301</v>
      </c>
      <c r="B4" s="50" t="s">
        <v>302</v>
      </c>
      <c r="C4" s="15"/>
      <c r="D4" s="1"/>
      <c r="E4" s="1"/>
      <c r="F4" s="1"/>
      <c r="G4" s="1"/>
      <c r="H4" s="1"/>
      <c r="I4" s="1"/>
      <c r="J4" s="1"/>
      <c r="K4" s="1" t="s">
        <v>302</v>
      </c>
      <c r="L4" s="1"/>
    </row>
    <row r="5" spans="1:12" ht="15.75" x14ac:dyDescent="0.25">
      <c r="A5" s="49" t="s">
        <v>303</v>
      </c>
      <c r="B5" s="174">
        <v>0.05</v>
      </c>
      <c r="C5" s="15"/>
      <c r="D5" s="1"/>
      <c r="E5" s="1"/>
      <c r="F5" s="1"/>
      <c r="G5" s="1"/>
      <c r="H5" s="1"/>
      <c r="I5" s="1"/>
      <c r="J5" s="1"/>
      <c r="K5" s="1"/>
      <c r="L5" s="1"/>
    </row>
  </sheetData>
  <dataValidations count="1">
    <dataValidation type="list" allowBlank="1" showInputMessage="1" showErrorMessage="1" sqref="B4">
      <formula1>$K$2:$K$4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7"/>
  <sheetViews>
    <sheetView zoomScale="110" zoomScaleNormal="110" workbookViewId="0">
      <selection activeCell="A6" sqref="A6:XFD6"/>
    </sheetView>
  </sheetViews>
  <sheetFormatPr defaultColWidth="9.140625" defaultRowHeight="12.75" x14ac:dyDescent="0.2"/>
  <cols>
    <col min="1" max="1" width="9.140625" style="14"/>
    <col min="2" max="2" width="21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4.28515625" style="14" customWidth="1"/>
    <col min="8" max="8" width="12.140625" style="14" customWidth="1"/>
    <col min="9" max="9" width="19.42578125" style="14" bestFit="1" customWidth="1"/>
    <col min="10" max="16384" width="9.140625" style="14"/>
  </cols>
  <sheetData>
    <row r="1" spans="1:9" x14ac:dyDescent="0.2">
      <c r="A1" s="189" t="s">
        <v>160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2">
      <c r="A2" s="212" t="s">
        <v>161</v>
      </c>
      <c r="B2" s="212"/>
      <c r="C2" s="212" t="s">
        <v>162</v>
      </c>
      <c r="D2" s="212"/>
      <c r="E2" s="212" t="s">
        <v>163</v>
      </c>
      <c r="F2" s="212" t="s">
        <v>164</v>
      </c>
      <c r="G2" s="212"/>
      <c r="H2" s="212" t="s">
        <v>165</v>
      </c>
      <c r="I2" s="212" t="s">
        <v>166</v>
      </c>
    </row>
    <row r="3" spans="1:9" ht="15.75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</row>
    <row r="4" spans="1:9" ht="15.75" customHeight="1" x14ac:dyDescent="0.2">
      <c r="A4" s="213" t="s">
        <v>167</v>
      </c>
      <c r="B4" s="213"/>
      <c r="C4" s="214" t="s">
        <v>168</v>
      </c>
      <c r="D4" s="214"/>
      <c r="E4" s="74" t="s">
        <v>169</v>
      </c>
      <c r="F4" s="214" t="s">
        <v>170</v>
      </c>
      <c r="G4" s="214"/>
      <c r="H4" s="74" t="s">
        <v>171</v>
      </c>
      <c r="I4" s="74" t="s">
        <v>172</v>
      </c>
    </row>
    <row r="5" spans="1:9" x14ac:dyDescent="0.2">
      <c r="A5" s="75" t="s">
        <v>173</v>
      </c>
      <c r="B5" s="75" t="s">
        <v>153</v>
      </c>
      <c r="C5" s="75" t="s">
        <v>174</v>
      </c>
      <c r="D5" s="80">
        <f>IFERROR('Servente de Limpeza'!$D$158,0)</f>
        <v>6391.2846700682448</v>
      </c>
      <c r="E5" s="81">
        <f>'Servente de Limpeza'!$E$12</f>
        <v>1</v>
      </c>
      <c r="F5" s="75" t="s">
        <v>174</v>
      </c>
      <c r="G5" s="76">
        <f>D5*E5</f>
        <v>6391.2846700682448</v>
      </c>
      <c r="H5" s="75">
        <f>'Servente de Limpeza'!$D$12</f>
        <v>2</v>
      </c>
      <c r="I5" s="77">
        <f>H5*G5</f>
        <v>12782.56934013649</v>
      </c>
    </row>
    <row r="6" spans="1:9" ht="25.5" x14ac:dyDescent="0.2">
      <c r="A6" s="96" t="s">
        <v>175</v>
      </c>
      <c r="B6" s="96" t="s">
        <v>213</v>
      </c>
      <c r="C6" s="96" t="s">
        <v>174</v>
      </c>
      <c r="D6" s="80">
        <f>IFERROR('Servente de Limpeza - Banheiro'!$D$158,0)</f>
        <v>7130.7868930328896</v>
      </c>
      <c r="E6" s="81">
        <f>'Servente de Limpeza - Banheiro'!$E$12</f>
        <v>1</v>
      </c>
      <c r="F6" s="96" t="s">
        <v>174</v>
      </c>
      <c r="G6" s="76">
        <f>D6*E6</f>
        <v>7130.7868930328896</v>
      </c>
      <c r="H6" s="96">
        <f>'Servente de Limpeza - Banheiro'!$D$12</f>
        <v>2</v>
      </c>
      <c r="I6" s="77">
        <f>H6*G6</f>
        <v>14261.573786065779</v>
      </c>
    </row>
    <row r="7" spans="1:9" ht="25.5" hidden="1" x14ac:dyDescent="0.2">
      <c r="A7" s="142"/>
      <c r="B7" s="142" t="s">
        <v>305</v>
      </c>
      <c r="C7" s="142" t="s">
        <v>174</v>
      </c>
      <c r="D7" s="80">
        <f>IFERROR('Servente de Limpeza - Diária'!$D$159,0)</f>
        <v>348.5180206561011</v>
      </c>
      <c r="E7" s="81">
        <f>'Servente de Limpeza - Diária'!$E$12</f>
        <v>0</v>
      </c>
      <c r="F7" s="142" t="s">
        <v>174</v>
      </c>
      <c r="G7" s="76">
        <f>D7*E7</f>
        <v>0</v>
      </c>
      <c r="H7" s="142">
        <f>'Servente de Limpeza - Diária'!$D$12</f>
        <v>0</v>
      </c>
      <c r="I7" s="77">
        <f>H7*G7</f>
        <v>0</v>
      </c>
    </row>
    <row r="8" spans="1:9" x14ac:dyDescent="0.2">
      <c r="A8" s="175" t="s">
        <v>182</v>
      </c>
      <c r="B8" s="75" t="s">
        <v>184</v>
      </c>
      <c r="C8" s="75" t="s">
        <v>174</v>
      </c>
      <c r="D8" s="80">
        <f>IFERROR(Líder!$D$158,0)</f>
        <v>4510.7271314527807</v>
      </c>
      <c r="E8" s="81">
        <f>Líder!$E$12</f>
        <v>1</v>
      </c>
      <c r="F8" s="75" t="s">
        <v>174</v>
      </c>
      <c r="G8" s="76">
        <f>D8*E8</f>
        <v>4510.7271314527807</v>
      </c>
      <c r="H8" s="75">
        <f>Líder!$D$12</f>
        <v>1</v>
      </c>
      <c r="I8" s="77">
        <f>H8*G8</f>
        <v>4510.7271314527807</v>
      </c>
    </row>
    <row r="9" spans="1:9" x14ac:dyDescent="0.2">
      <c r="A9" s="175" t="s">
        <v>183</v>
      </c>
      <c r="B9" s="75" t="s">
        <v>157</v>
      </c>
      <c r="C9" s="75" t="s">
        <v>174</v>
      </c>
      <c r="D9" s="80">
        <f>IFERROR(Copeira!$D$157,0)</f>
        <v>4823.5864339112595</v>
      </c>
      <c r="E9" s="81">
        <f>Copeira!$E$12</f>
        <v>1</v>
      </c>
      <c r="F9" s="75" t="s">
        <v>174</v>
      </c>
      <c r="G9" s="76">
        <f t="shared" ref="G9:G12" si="0">D9*E9</f>
        <v>4823.5864339112595</v>
      </c>
      <c r="H9" s="75">
        <f>Copeira!$D$12</f>
        <v>2</v>
      </c>
      <c r="I9" s="77">
        <f t="shared" ref="I9:I12" si="1">H9*G9</f>
        <v>9647.172867822519</v>
      </c>
    </row>
    <row r="10" spans="1:9" hidden="1" x14ac:dyDescent="0.2">
      <c r="A10" s="96"/>
      <c r="B10" s="75" t="s">
        <v>158</v>
      </c>
      <c r="C10" s="75" t="s">
        <v>174</v>
      </c>
      <c r="D10" s="80">
        <f>IFERROR(Jardineiro!$D$158,0)</f>
        <v>4192.922646625816</v>
      </c>
      <c r="E10" s="81">
        <f>Jardineiro!$E$12</f>
        <v>0</v>
      </c>
      <c r="F10" s="75" t="s">
        <v>174</v>
      </c>
      <c r="G10" s="76">
        <f t="shared" si="0"/>
        <v>0</v>
      </c>
      <c r="H10" s="75">
        <f>Jardineiro!$D$12</f>
        <v>0</v>
      </c>
      <c r="I10" s="77">
        <f t="shared" si="1"/>
        <v>0</v>
      </c>
    </row>
    <row r="11" spans="1:9" x14ac:dyDescent="0.2">
      <c r="A11" s="175" t="s">
        <v>185</v>
      </c>
      <c r="B11" s="142" t="s">
        <v>304</v>
      </c>
      <c r="C11" s="142"/>
      <c r="D11" s="80">
        <f>IFERROR('Jardineiro - Diária'!D159,0)</f>
        <v>203.71812801467206</v>
      </c>
      <c r="E11" s="81">
        <f>'Jardineiro - Diária'!E12</f>
        <v>1</v>
      </c>
      <c r="F11" s="142" t="s">
        <v>174</v>
      </c>
      <c r="G11" s="76">
        <f t="shared" ref="G11" si="2">D11*E11</f>
        <v>203.71812801467206</v>
      </c>
      <c r="H11" s="142">
        <f>'Jardineiro - Diária'!D12</f>
        <v>1</v>
      </c>
      <c r="I11" s="77">
        <f t="shared" si="1"/>
        <v>203.71812801467206</v>
      </c>
    </row>
    <row r="12" spans="1:9" hidden="1" x14ac:dyDescent="0.2">
      <c r="A12" s="75"/>
      <c r="B12" s="75" t="s">
        <v>159</v>
      </c>
      <c r="C12" s="75" t="s">
        <v>174</v>
      </c>
      <c r="D12" s="80">
        <f>IFERROR('Aux. Jardim'!$D$158,0)</f>
        <v>3997.8616836034244</v>
      </c>
      <c r="E12" s="81">
        <f>'Aux. Jardim'!$E$12</f>
        <v>0</v>
      </c>
      <c r="F12" s="75" t="s">
        <v>174</v>
      </c>
      <c r="G12" s="76">
        <f t="shared" si="0"/>
        <v>0</v>
      </c>
      <c r="H12" s="75">
        <f>'Aux. Jardim'!$D$12</f>
        <v>0</v>
      </c>
      <c r="I12" s="77">
        <f t="shared" si="1"/>
        <v>0</v>
      </c>
    </row>
    <row r="13" spans="1:9" x14ac:dyDescent="0.2">
      <c r="A13" s="215" t="s">
        <v>176</v>
      </c>
      <c r="B13" s="215"/>
      <c r="C13" s="215"/>
      <c r="D13" s="215"/>
      <c r="E13" s="215"/>
      <c r="F13" s="215"/>
      <c r="G13" s="215"/>
      <c r="H13" s="215"/>
      <c r="I13" s="82">
        <f>SUM(I5:I12)</f>
        <v>41405.761253492237</v>
      </c>
    </row>
    <row r="14" spans="1:9" ht="29.25" customHeight="1" x14ac:dyDescent="0.2"/>
    <row r="15" spans="1:9" x14ac:dyDescent="0.2">
      <c r="A15" s="189" t="s">
        <v>177</v>
      </c>
      <c r="B15" s="189"/>
      <c r="C15" s="189"/>
      <c r="D15" s="189"/>
      <c r="E15" s="189"/>
      <c r="F15" s="189"/>
      <c r="G15" s="189"/>
      <c r="H15" s="189"/>
      <c r="I15" s="189"/>
    </row>
    <row r="16" spans="1:9" x14ac:dyDescent="0.2">
      <c r="A16" s="211" t="s">
        <v>178</v>
      </c>
      <c r="B16" s="211"/>
      <c r="C16" s="211"/>
      <c r="D16" s="211"/>
      <c r="E16" s="211"/>
      <c r="F16" s="211"/>
      <c r="G16" s="211"/>
      <c r="H16" s="211"/>
      <c r="I16" s="211"/>
    </row>
    <row r="17" spans="1:9" x14ac:dyDescent="0.2">
      <c r="A17" s="211" t="s">
        <v>92</v>
      </c>
      <c r="B17" s="211"/>
      <c r="C17" s="211"/>
      <c r="D17" s="211"/>
      <c r="E17" s="211"/>
      <c r="F17" s="211"/>
      <c r="G17" s="211"/>
      <c r="H17" s="211"/>
      <c r="I17" s="79" t="s">
        <v>3</v>
      </c>
    </row>
    <row r="18" spans="1:9" x14ac:dyDescent="0.2">
      <c r="A18" s="22"/>
      <c r="B18" s="216" t="s">
        <v>186</v>
      </c>
      <c r="C18" s="216"/>
      <c r="D18" s="216"/>
      <c r="E18" s="216"/>
      <c r="F18" s="216"/>
      <c r="G18" s="216"/>
      <c r="H18" s="216"/>
      <c r="I18" s="78"/>
    </row>
    <row r="19" spans="1:9" x14ac:dyDescent="0.2">
      <c r="A19" s="22" t="s">
        <v>4</v>
      </c>
      <c r="B19" s="217" t="s">
        <v>179</v>
      </c>
      <c r="C19" s="217" t="s">
        <v>180</v>
      </c>
      <c r="D19" s="217" t="s">
        <v>180</v>
      </c>
      <c r="E19" s="217" t="s">
        <v>180</v>
      </c>
      <c r="F19" s="217" t="s">
        <v>180</v>
      </c>
      <c r="G19" s="217" t="s">
        <v>180</v>
      </c>
      <c r="H19" s="217" t="s">
        <v>180</v>
      </c>
      <c r="I19" s="83">
        <f>SUM(I5:I9)-I7</f>
        <v>41202.043125477569</v>
      </c>
    </row>
    <row r="20" spans="1:9" s="188" customFormat="1" x14ac:dyDescent="0.2">
      <c r="A20" s="187" t="s">
        <v>6</v>
      </c>
      <c r="B20" s="216" t="s">
        <v>366</v>
      </c>
      <c r="C20" s="216" t="s">
        <v>181</v>
      </c>
      <c r="D20" s="216" t="s">
        <v>181</v>
      </c>
      <c r="E20" s="216" t="s">
        <v>181</v>
      </c>
      <c r="F20" s="216" t="s">
        <v>181</v>
      </c>
      <c r="G20" s="216" t="s">
        <v>181</v>
      </c>
      <c r="H20" s="216" t="s">
        <v>181</v>
      </c>
      <c r="I20" s="84">
        <f>I19*12</f>
        <v>494424.51750573085</v>
      </c>
    </row>
    <row r="21" spans="1:9" x14ac:dyDescent="0.2">
      <c r="A21" s="22" t="s">
        <v>8</v>
      </c>
      <c r="B21" s="217" t="s">
        <v>306</v>
      </c>
      <c r="C21" s="217" t="s">
        <v>181</v>
      </c>
      <c r="D21" s="217" t="s">
        <v>181</v>
      </c>
      <c r="E21" s="217" t="s">
        <v>181</v>
      </c>
      <c r="F21" s="217" t="s">
        <v>181</v>
      </c>
      <c r="G21" s="217" t="s">
        <v>181</v>
      </c>
      <c r="H21" s="217" t="s">
        <v>181</v>
      </c>
      <c r="I21" s="83">
        <f>$I$7*24</f>
        <v>0</v>
      </c>
    </row>
    <row r="22" spans="1:9" s="188" customFormat="1" x14ac:dyDescent="0.2">
      <c r="A22" s="187" t="s">
        <v>10</v>
      </c>
      <c r="B22" s="216" t="s">
        <v>365</v>
      </c>
      <c r="C22" s="216" t="s">
        <v>181</v>
      </c>
      <c r="D22" s="216" t="s">
        <v>181</v>
      </c>
      <c r="E22" s="216" t="s">
        <v>181</v>
      </c>
      <c r="F22" s="216" t="s">
        <v>181</v>
      </c>
      <c r="G22" s="216" t="s">
        <v>181</v>
      </c>
      <c r="H22" s="216" t="s">
        <v>181</v>
      </c>
      <c r="I22" s="84">
        <f>I20+I21</f>
        <v>494424.51750573085</v>
      </c>
    </row>
    <row r="23" spans="1:9" x14ac:dyDescent="0.2">
      <c r="A23" s="22"/>
      <c r="B23" s="216" t="s">
        <v>187</v>
      </c>
      <c r="C23" s="216"/>
      <c r="D23" s="216"/>
      <c r="E23" s="216"/>
      <c r="F23" s="216"/>
      <c r="G23" s="216"/>
      <c r="H23" s="216"/>
      <c r="I23" s="78"/>
    </row>
    <row r="24" spans="1:9" x14ac:dyDescent="0.2">
      <c r="A24" s="22" t="s">
        <v>4</v>
      </c>
      <c r="B24" s="217" t="s">
        <v>179</v>
      </c>
      <c r="C24" s="217" t="s">
        <v>180</v>
      </c>
      <c r="D24" s="217" t="s">
        <v>180</v>
      </c>
      <c r="E24" s="217" t="s">
        <v>180</v>
      </c>
      <c r="F24" s="217" t="s">
        <v>180</v>
      </c>
      <c r="G24" s="217" t="s">
        <v>180</v>
      </c>
      <c r="H24" s="217" t="s">
        <v>180</v>
      </c>
      <c r="I24" s="83">
        <f>SUM(I10:I12)-$I$11</f>
        <v>0</v>
      </c>
    </row>
    <row r="25" spans="1:9" s="188" customFormat="1" x14ac:dyDescent="0.2">
      <c r="A25" s="187" t="s">
        <v>6</v>
      </c>
      <c r="B25" s="216" t="s">
        <v>366</v>
      </c>
      <c r="C25" s="216" t="s">
        <v>181</v>
      </c>
      <c r="D25" s="216" t="s">
        <v>181</v>
      </c>
      <c r="E25" s="216" t="s">
        <v>181</v>
      </c>
      <c r="F25" s="216" t="s">
        <v>181</v>
      </c>
      <c r="G25" s="216" t="s">
        <v>181</v>
      </c>
      <c r="H25" s="216" t="s">
        <v>181</v>
      </c>
      <c r="I25" s="84">
        <f>I24*12</f>
        <v>0</v>
      </c>
    </row>
    <row r="26" spans="1:9" ht="12.95" customHeight="1" x14ac:dyDescent="0.2">
      <c r="A26" s="22" t="s">
        <v>8</v>
      </c>
      <c r="B26" s="217" t="s">
        <v>306</v>
      </c>
      <c r="C26" s="217" t="s">
        <v>181</v>
      </c>
      <c r="D26" s="217" t="s">
        <v>181</v>
      </c>
      <c r="E26" s="217" t="s">
        <v>181</v>
      </c>
      <c r="F26" s="217" t="s">
        <v>181</v>
      </c>
      <c r="G26" s="217" t="s">
        <v>181</v>
      </c>
      <c r="H26" s="217" t="s">
        <v>181</v>
      </c>
      <c r="I26" s="83">
        <f>$I$11*24</f>
        <v>4889.2350723521295</v>
      </c>
    </row>
    <row r="27" spans="1:9" s="188" customFormat="1" x14ac:dyDescent="0.2">
      <c r="A27" s="187" t="s">
        <v>10</v>
      </c>
      <c r="B27" s="216" t="s">
        <v>365</v>
      </c>
      <c r="C27" s="216" t="s">
        <v>181</v>
      </c>
      <c r="D27" s="216" t="s">
        <v>181</v>
      </c>
      <c r="E27" s="216" t="s">
        <v>181</v>
      </c>
      <c r="F27" s="216" t="s">
        <v>181</v>
      </c>
      <c r="G27" s="216" t="s">
        <v>181</v>
      </c>
      <c r="H27" s="216" t="s">
        <v>181</v>
      </c>
      <c r="I27" s="84">
        <f>I25+I26</f>
        <v>4889.2350723521295</v>
      </c>
    </row>
  </sheetData>
  <mergeCells count="24">
    <mergeCell ref="B27:H27"/>
    <mergeCell ref="B23:H23"/>
    <mergeCell ref="B24:H24"/>
    <mergeCell ref="B25:H25"/>
    <mergeCell ref="A17:H17"/>
    <mergeCell ref="B18:H18"/>
    <mergeCell ref="B19:H19"/>
    <mergeCell ref="B20:H20"/>
    <mergeCell ref="B21:H21"/>
    <mergeCell ref="B26:H26"/>
    <mergeCell ref="B22:H22"/>
    <mergeCell ref="A16:I16"/>
    <mergeCell ref="A1:I1"/>
    <mergeCell ref="A2:B3"/>
    <mergeCell ref="C2:D3"/>
    <mergeCell ref="E2:E3"/>
    <mergeCell ref="F2:G3"/>
    <mergeCell ref="H2:H3"/>
    <mergeCell ref="I2:I3"/>
    <mergeCell ref="A4:B4"/>
    <mergeCell ref="C4:D4"/>
    <mergeCell ref="F4:G4"/>
    <mergeCell ref="A13:H13"/>
    <mergeCell ref="A15:I1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workbookViewId="0">
      <selection activeCell="M19" sqref="M19"/>
    </sheetView>
  </sheetViews>
  <sheetFormatPr defaultRowHeight="15" x14ac:dyDescent="0.25"/>
  <cols>
    <col min="1" max="1" width="28.140625" bestFit="1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8" customWidth="1"/>
  </cols>
  <sheetData>
    <row r="1" spans="1:6" s="47" customFormat="1" ht="28.5" x14ac:dyDescent="0.25">
      <c r="A1" s="53" t="s">
        <v>121</v>
      </c>
      <c r="B1" s="53" t="s">
        <v>125</v>
      </c>
      <c r="C1" s="53" t="s">
        <v>97</v>
      </c>
      <c r="D1" s="53" t="s">
        <v>126</v>
      </c>
      <c r="E1" s="53" t="s">
        <v>128</v>
      </c>
      <c r="F1" s="54" t="s">
        <v>127</v>
      </c>
    </row>
    <row r="2" spans="1:6" x14ac:dyDescent="0.25">
      <c r="A2" s="49" t="s">
        <v>120</v>
      </c>
      <c r="B2" s="50">
        <f>26</f>
        <v>26</v>
      </c>
      <c r="C2" s="50">
        <v>4.0999999999999996</v>
      </c>
      <c r="D2" s="50">
        <v>2</v>
      </c>
      <c r="E2" s="51">
        <v>0.06</v>
      </c>
      <c r="F2" s="52">
        <f>(C2*D2)*B2</f>
        <v>213.2</v>
      </c>
    </row>
    <row r="3" spans="1:6" x14ac:dyDescent="0.25">
      <c r="A3" s="49" t="s">
        <v>38</v>
      </c>
      <c r="B3" s="50">
        <v>22</v>
      </c>
      <c r="C3" s="50">
        <v>18.53</v>
      </c>
      <c r="D3" s="50">
        <v>1</v>
      </c>
      <c r="E3" s="51">
        <v>0.2</v>
      </c>
      <c r="F3" s="52">
        <f>(C3*B3)-(B3*C3)*E3</f>
        <v>326.12800000000004</v>
      </c>
    </row>
    <row r="4" spans="1:6" x14ac:dyDescent="0.25">
      <c r="A4" s="49" t="s">
        <v>106</v>
      </c>
      <c r="B4" s="50">
        <v>1</v>
      </c>
      <c r="C4" s="50">
        <v>130.80000000000001</v>
      </c>
      <c r="D4" s="50">
        <v>1</v>
      </c>
      <c r="E4" s="50"/>
      <c r="F4" s="52">
        <f>C4*D4*B4</f>
        <v>130.80000000000001</v>
      </c>
    </row>
    <row r="5" spans="1:6" x14ac:dyDescent="0.25">
      <c r="A5" s="49"/>
      <c r="B5" s="50"/>
      <c r="C5" s="50"/>
      <c r="D5" s="50"/>
      <c r="E5" s="50"/>
      <c r="F5" s="52"/>
    </row>
    <row r="6" spans="1:6" x14ac:dyDescent="0.25">
      <c r="A6" s="49"/>
      <c r="B6" s="50"/>
      <c r="C6" s="50"/>
      <c r="D6" s="50"/>
      <c r="E6" s="50"/>
      <c r="F6" s="52"/>
    </row>
    <row r="7" spans="1:6" x14ac:dyDescent="0.25">
      <c r="A7" s="49"/>
      <c r="B7" s="50"/>
      <c r="C7" s="50"/>
      <c r="D7" s="50"/>
      <c r="E7" s="50"/>
      <c r="F7" s="52"/>
    </row>
    <row r="8" spans="1:6" x14ac:dyDescent="0.25">
      <c r="A8" s="49"/>
      <c r="B8" s="50"/>
      <c r="C8" s="50"/>
      <c r="D8" s="50"/>
      <c r="E8" s="50"/>
      <c r="F8" s="52"/>
    </row>
    <row r="23" spans="4:4" x14ac:dyDescent="0.25">
      <c r="D23" t="s">
        <v>298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H9" sqref="H9"/>
    </sheetView>
  </sheetViews>
  <sheetFormatPr defaultColWidth="9.140625" defaultRowHeight="15.75" x14ac:dyDescent="0.25"/>
  <cols>
    <col min="1" max="1" width="5.42578125" style="1" bestFit="1" customWidth="1"/>
    <col min="2" max="2" width="63.42578125" style="1" bestFit="1" customWidth="1"/>
    <col min="3" max="3" width="10.5703125" style="1" bestFit="1" customWidth="1"/>
    <col min="4" max="4" width="11.85546875" style="1" bestFit="1" customWidth="1"/>
    <col min="5" max="5" width="15.7109375" style="24" bestFit="1" customWidth="1"/>
    <col min="6" max="6" width="11.85546875" style="1" bestFit="1" customWidth="1"/>
    <col min="7" max="7" width="13.7109375" style="1" bestFit="1" customWidth="1"/>
    <col min="8" max="8" width="36.28515625" style="1" bestFit="1" customWidth="1"/>
    <col min="9" max="16384" width="9.140625" style="1"/>
  </cols>
  <sheetData>
    <row r="1" spans="1:8" s="29" customFormat="1" x14ac:dyDescent="0.25">
      <c r="A1" s="30" t="s">
        <v>91</v>
      </c>
      <c r="B1" s="30" t="s">
        <v>92</v>
      </c>
      <c r="C1" s="30" t="s">
        <v>195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270</v>
      </c>
      <c r="C2" s="25" t="s">
        <v>234</v>
      </c>
      <c r="D2" s="25">
        <v>4</v>
      </c>
      <c r="E2" s="26">
        <v>32.75</v>
      </c>
      <c r="F2" s="27">
        <f>D2*E2</f>
        <v>131</v>
      </c>
      <c r="G2" s="27">
        <f>F2/12</f>
        <v>10.916666666666666</v>
      </c>
      <c r="H2" s="132" t="s">
        <v>153</v>
      </c>
    </row>
    <row r="3" spans="1:8" x14ac:dyDescent="0.25">
      <c r="A3" s="25">
        <v>2</v>
      </c>
      <c r="B3" s="25" t="s">
        <v>271</v>
      </c>
      <c r="C3" s="25" t="s">
        <v>234</v>
      </c>
      <c r="D3" s="25">
        <v>4</v>
      </c>
      <c r="E3" s="26">
        <v>47.66</v>
      </c>
      <c r="F3" s="27">
        <f t="shared" ref="F3:F9" si="0">D3*E3</f>
        <v>190.64</v>
      </c>
      <c r="G3" s="27">
        <f t="shared" ref="G3:G15" si="1">F3/12</f>
        <v>15.886666666666665</v>
      </c>
      <c r="H3" s="132" t="s">
        <v>153</v>
      </c>
    </row>
    <row r="4" spans="1:8" x14ac:dyDescent="0.25">
      <c r="A4" s="25">
        <v>3</v>
      </c>
      <c r="B4" s="25" t="s">
        <v>272</v>
      </c>
      <c r="C4" s="25" t="s">
        <v>234</v>
      </c>
      <c r="D4" s="25">
        <v>6</v>
      </c>
      <c r="E4" s="26">
        <v>8.33</v>
      </c>
      <c r="F4" s="27">
        <f t="shared" si="0"/>
        <v>49.980000000000004</v>
      </c>
      <c r="G4" s="27">
        <f t="shared" si="1"/>
        <v>4.165</v>
      </c>
      <c r="H4" s="132" t="s">
        <v>153</v>
      </c>
    </row>
    <row r="5" spans="1:8" x14ac:dyDescent="0.25">
      <c r="A5" s="25">
        <v>4</v>
      </c>
      <c r="B5" s="25" t="s">
        <v>273</v>
      </c>
      <c r="C5" s="25" t="s">
        <v>234</v>
      </c>
      <c r="D5" s="25">
        <v>1</v>
      </c>
      <c r="E5" s="26">
        <v>5.7</v>
      </c>
      <c r="F5" s="27">
        <f t="shared" si="0"/>
        <v>5.7</v>
      </c>
      <c r="G5" s="27">
        <f t="shared" si="1"/>
        <v>0.47500000000000003</v>
      </c>
      <c r="H5" s="132" t="s">
        <v>153</v>
      </c>
    </row>
    <row r="6" spans="1:8" x14ac:dyDescent="0.25">
      <c r="A6" s="25">
        <v>5</v>
      </c>
      <c r="B6" s="25" t="s">
        <v>270</v>
      </c>
      <c r="C6" s="25" t="s">
        <v>234</v>
      </c>
      <c r="D6" s="25">
        <v>4</v>
      </c>
      <c r="E6" s="26">
        <v>32.75</v>
      </c>
      <c r="F6" s="27">
        <f t="shared" si="0"/>
        <v>131</v>
      </c>
      <c r="G6" s="27">
        <f t="shared" si="1"/>
        <v>10.916666666666666</v>
      </c>
      <c r="H6" s="132" t="s">
        <v>213</v>
      </c>
    </row>
    <row r="7" spans="1:8" x14ac:dyDescent="0.25">
      <c r="A7" s="25">
        <v>6</v>
      </c>
      <c r="B7" s="25" t="s">
        <v>271</v>
      </c>
      <c r="C7" s="25" t="s">
        <v>234</v>
      </c>
      <c r="D7" s="25">
        <v>4</v>
      </c>
      <c r="E7" s="26">
        <v>47.66</v>
      </c>
      <c r="F7" s="27">
        <f t="shared" si="0"/>
        <v>190.64</v>
      </c>
      <c r="G7" s="27">
        <f t="shared" si="1"/>
        <v>15.886666666666665</v>
      </c>
      <c r="H7" s="132" t="s">
        <v>213</v>
      </c>
    </row>
    <row r="8" spans="1:8" x14ac:dyDescent="0.25">
      <c r="A8" s="25">
        <v>7</v>
      </c>
      <c r="B8" s="25" t="s">
        <v>272</v>
      </c>
      <c r="C8" s="25" t="s">
        <v>234</v>
      </c>
      <c r="D8" s="25">
        <v>6</v>
      </c>
      <c r="E8" s="26">
        <v>8.33</v>
      </c>
      <c r="F8" s="27">
        <f t="shared" si="0"/>
        <v>49.980000000000004</v>
      </c>
      <c r="G8" s="27">
        <f t="shared" si="1"/>
        <v>4.165</v>
      </c>
      <c r="H8" s="132" t="s">
        <v>213</v>
      </c>
    </row>
    <row r="9" spans="1:8" x14ac:dyDescent="0.25">
      <c r="A9" s="25">
        <v>8</v>
      </c>
      <c r="B9" s="25" t="s">
        <v>273</v>
      </c>
      <c r="C9" s="25" t="s">
        <v>234</v>
      </c>
      <c r="D9" s="25">
        <v>1</v>
      </c>
      <c r="E9" s="26">
        <v>5.7</v>
      </c>
      <c r="F9" s="27">
        <f t="shared" si="0"/>
        <v>5.7</v>
      </c>
      <c r="G9" s="27">
        <f t="shared" si="1"/>
        <v>0.47500000000000003</v>
      </c>
      <c r="H9" s="132" t="s">
        <v>213</v>
      </c>
    </row>
    <row r="10" spans="1:8" x14ac:dyDescent="0.25">
      <c r="A10" s="25">
        <v>9</v>
      </c>
      <c r="B10" s="25" t="s">
        <v>307</v>
      </c>
      <c r="C10" s="25" t="s">
        <v>234</v>
      </c>
      <c r="D10" s="25">
        <v>4</v>
      </c>
      <c r="E10" s="26">
        <v>32.75</v>
      </c>
      <c r="F10" s="27">
        <f>D10*E10</f>
        <v>131</v>
      </c>
      <c r="G10" s="27">
        <f t="shared" si="1"/>
        <v>10.916666666666666</v>
      </c>
      <c r="H10" s="132" t="s">
        <v>157</v>
      </c>
    </row>
    <row r="11" spans="1:8" x14ac:dyDescent="0.25">
      <c r="A11" s="25">
        <v>10</v>
      </c>
      <c r="B11" s="25" t="s">
        <v>308</v>
      </c>
      <c r="C11" s="25" t="s">
        <v>234</v>
      </c>
      <c r="D11" s="25">
        <v>4</v>
      </c>
      <c r="E11" s="26">
        <v>56.6</v>
      </c>
      <c r="F11" s="27">
        <f t="shared" ref="F11:F15" si="2">D11*E11</f>
        <v>226.4</v>
      </c>
      <c r="G11" s="27">
        <f t="shared" si="1"/>
        <v>18.866666666666667</v>
      </c>
      <c r="H11" s="132" t="s">
        <v>157</v>
      </c>
    </row>
    <row r="12" spans="1:8" x14ac:dyDescent="0.25">
      <c r="A12" s="25">
        <v>11</v>
      </c>
      <c r="B12" s="25" t="s">
        <v>309</v>
      </c>
      <c r="C12" s="25" t="s">
        <v>234</v>
      </c>
      <c r="D12" s="25">
        <v>4</v>
      </c>
      <c r="E12" s="26">
        <v>19.3</v>
      </c>
      <c r="F12" s="27">
        <f t="shared" si="2"/>
        <v>77.2</v>
      </c>
      <c r="G12" s="27">
        <f t="shared" si="1"/>
        <v>6.4333333333333336</v>
      </c>
      <c r="H12" s="132" t="s">
        <v>157</v>
      </c>
    </row>
    <row r="13" spans="1:8" x14ac:dyDescent="0.25">
      <c r="A13" s="25">
        <v>12</v>
      </c>
      <c r="B13" s="25" t="s">
        <v>310</v>
      </c>
      <c r="C13" s="25" t="s">
        <v>234</v>
      </c>
      <c r="D13" s="25">
        <v>4</v>
      </c>
      <c r="E13" s="26">
        <v>97.99</v>
      </c>
      <c r="F13" s="27">
        <f t="shared" si="2"/>
        <v>391.96</v>
      </c>
      <c r="G13" s="27">
        <f t="shared" si="1"/>
        <v>32.663333333333334</v>
      </c>
      <c r="H13" s="132" t="s">
        <v>157</v>
      </c>
    </row>
    <row r="14" spans="1:8" x14ac:dyDescent="0.25">
      <c r="A14" s="25">
        <v>13</v>
      </c>
      <c r="B14" s="25" t="s">
        <v>311</v>
      </c>
      <c r="C14" s="25" t="s">
        <v>234</v>
      </c>
      <c r="D14" s="25">
        <v>6</v>
      </c>
      <c r="E14" s="26">
        <v>8.33</v>
      </c>
      <c r="F14" s="27">
        <f t="shared" si="2"/>
        <v>49.980000000000004</v>
      </c>
      <c r="G14" s="27">
        <f t="shared" si="1"/>
        <v>4.165</v>
      </c>
      <c r="H14" s="132" t="s">
        <v>157</v>
      </c>
    </row>
    <row r="15" spans="1:8" x14ac:dyDescent="0.25">
      <c r="A15" s="25">
        <v>14</v>
      </c>
      <c r="B15" s="25" t="s">
        <v>273</v>
      </c>
      <c r="C15" s="25" t="s">
        <v>234</v>
      </c>
      <c r="D15" s="25">
        <v>1</v>
      </c>
      <c r="E15" s="26">
        <v>5.7</v>
      </c>
      <c r="F15" s="27">
        <f t="shared" si="2"/>
        <v>5.7</v>
      </c>
      <c r="G15" s="27">
        <f t="shared" si="1"/>
        <v>0.47500000000000003</v>
      </c>
      <c r="H15" s="132" t="s">
        <v>157</v>
      </c>
    </row>
    <row r="16" spans="1:8" x14ac:dyDescent="0.25">
      <c r="A16" s="25">
        <v>15</v>
      </c>
      <c r="B16" s="25" t="s">
        <v>355</v>
      </c>
      <c r="C16" s="25" t="s">
        <v>234</v>
      </c>
      <c r="D16" s="25">
        <v>4</v>
      </c>
      <c r="E16" s="176">
        <v>32.75</v>
      </c>
      <c r="F16" s="27">
        <f t="shared" ref="F16:F25" si="3">D16*E16</f>
        <v>131</v>
      </c>
      <c r="G16" s="27">
        <f t="shared" ref="G16:G25" si="4">F16/12</f>
        <v>10.916666666666666</v>
      </c>
      <c r="H16" s="132" t="s">
        <v>184</v>
      </c>
    </row>
    <row r="17" spans="1:8" x14ac:dyDescent="0.25">
      <c r="A17" s="25">
        <v>16</v>
      </c>
      <c r="B17" s="25" t="s">
        <v>356</v>
      </c>
      <c r="C17" s="25" t="s">
        <v>234</v>
      </c>
      <c r="D17" s="25">
        <v>4</v>
      </c>
      <c r="E17" s="176">
        <v>56.6</v>
      </c>
      <c r="F17" s="27">
        <f t="shared" si="3"/>
        <v>226.4</v>
      </c>
      <c r="G17" s="27">
        <f t="shared" si="4"/>
        <v>18.866666666666667</v>
      </c>
      <c r="H17" s="132" t="s">
        <v>184</v>
      </c>
    </row>
    <row r="18" spans="1:8" x14ac:dyDescent="0.25">
      <c r="A18" s="25">
        <v>17</v>
      </c>
      <c r="B18" s="25" t="s">
        <v>273</v>
      </c>
      <c r="C18" s="25" t="s">
        <v>234</v>
      </c>
      <c r="D18" s="25">
        <v>1</v>
      </c>
      <c r="E18" s="176">
        <v>5.7</v>
      </c>
      <c r="F18" s="27">
        <f t="shared" si="3"/>
        <v>5.7</v>
      </c>
      <c r="G18" s="27">
        <f t="shared" si="4"/>
        <v>0.47500000000000003</v>
      </c>
      <c r="H18" s="132" t="s">
        <v>184</v>
      </c>
    </row>
    <row r="19" spans="1:8" x14ac:dyDescent="0.25">
      <c r="A19" s="25">
        <v>18</v>
      </c>
      <c r="B19" s="25" t="s">
        <v>357</v>
      </c>
      <c r="C19" s="25" t="s">
        <v>234</v>
      </c>
      <c r="D19" s="25">
        <v>2</v>
      </c>
      <c r="E19" s="176">
        <v>47.66</v>
      </c>
      <c r="F19" s="27">
        <f t="shared" si="3"/>
        <v>95.32</v>
      </c>
      <c r="G19" s="27">
        <f t="shared" si="4"/>
        <v>7.9433333333333325</v>
      </c>
      <c r="H19" s="132" t="s">
        <v>304</v>
      </c>
    </row>
    <row r="20" spans="1:8" x14ac:dyDescent="0.25">
      <c r="A20" s="25">
        <v>19</v>
      </c>
      <c r="B20" s="25" t="s">
        <v>358</v>
      </c>
      <c r="C20" s="25" t="s">
        <v>234</v>
      </c>
      <c r="D20" s="25">
        <v>2</v>
      </c>
      <c r="E20" s="176">
        <v>32.75</v>
      </c>
      <c r="F20" s="27">
        <f t="shared" si="3"/>
        <v>65.5</v>
      </c>
      <c r="G20" s="27">
        <f t="shared" si="4"/>
        <v>5.458333333333333</v>
      </c>
      <c r="H20" s="132" t="s">
        <v>304</v>
      </c>
    </row>
    <row r="21" spans="1:8" x14ac:dyDescent="0.25">
      <c r="A21" s="25">
        <v>20</v>
      </c>
      <c r="B21" s="25" t="s">
        <v>359</v>
      </c>
      <c r="C21" s="25" t="s">
        <v>269</v>
      </c>
      <c r="D21" s="25">
        <v>2</v>
      </c>
      <c r="E21" s="176">
        <v>88.38</v>
      </c>
      <c r="F21" s="27">
        <f t="shared" si="3"/>
        <v>176.76</v>
      </c>
      <c r="G21" s="27">
        <f t="shared" si="4"/>
        <v>14.729999999999999</v>
      </c>
      <c r="H21" s="132" t="s">
        <v>304</v>
      </c>
    </row>
    <row r="22" spans="1:8" x14ac:dyDescent="0.25">
      <c r="A22" s="25">
        <v>21</v>
      </c>
      <c r="B22" s="25" t="s">
        <v>360</v>
      </c>
      <c r="C22" s="25" t="s">
        <v>195</v>
      </c>
      <c r="D22" s="25">
        <v>2</v>
      </c>
      <c r="E22" s="176">
        <v>13.9</v>
      </c>
      <c r="F22" s="27">
        <f t="shared" si="3"/>
        <v>27.8</v>
      </c>
      <c r="G22" s="27">
        <f t="shared" si="4"/>
        <v>2.3166666666666669</v>
      </c>
      <c r="H22" s="132" t="s">
        <v>304</v>
      </c>
    </row>
    <row r="23" spans="1:8" x14ac:dyDescent="0.25">
      <c r="A23" s="25">
        <v>22</v>
      </c>
      <c r="B23" s="25" t="s">
        <v>361</v>
      </c>
      <c r="C23" s="25" t="s">
        <v>269</v>
      </c>
      <c r="D23" s="25">
        <v>2</v>
      </c>
      <c r="E23" s="176">
        <v>8.33</v>
      </c>
      <c r="F23" s="27">
        <f t="shared" si="3"/>
        <v>16.66</v>
      </c>
      <c r="G23" s="27">
        <f t="shared" si="4"/>
        <v>1.3883333333333334</v>
      </c>
      <c r="H23" s="132" t="s">
        <v>304</v>
      </c>
    </row>
    <row r="24" spans="1:8" x14ac:dyDescent="0.25">
      <c r="A24" s="25">
        <v>23</v>
      </c>
      <c r="B24" s="25" t="s">
        <v>362</v>
      </c>
      <c r="C24" s="25" t="s">
        <v>234</v>
      </c>
      <c r="D24" s="25">
        <v>2</v>
      </c>
      <c r="E24" s="176">
        <v>97.99</v>
      </c>
      <c r="F24" s="27">
        <f t="shared" si="3"/>
        <v>195.98</v>
      </c>
      <c r="G24" s="27">
        <f t="shared" si="4"/>
        <v>16.331666666666667</v>
      </c>
      <c r="H24" s="132" t="s">
        <v>304</v>
      </c>
    </row>
    <row r="25" spans="1:8" x14ac:dyDescent="0.25">
      <c r="A25" s="25">
        <v>24</v>
      </c>
      <c r="B25" s="25" t="s">
        <v>273</v>
      </c>
      <c r="C25" s="25" t="s">
        <v>234</v>
      </c>
      <c r="D25" s="25">
        <v>1</v>
      </c>
      <c r="E25" s="176">
        <v>5.7</v>
      </c>
      <c r="F25" s="27">
        <f t="shared" si="3"/>
        <v>5.7</v>
      </c>
      <c r="G25" s="27">
        <f t="shared" si="4"/>
        <v>0.47500000000000003</v>
      </c>
      <c r="H25" s="132" t="s">
        <v>304</v>
      </c>
    </row>
  </sheetData>
  <pageMargins left="0.511811024" right="0.511811024" top="0.78740157499999996" bottom="0.78740157499999996" header="0.31496062000000002" footer="0.31496062000000002"/>
  <pageSetup paperSize="9" scale="80" fitToHeight="0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9"/>
  <sheetViews>
    <sheetView workbookViewId="0">
      <selection activeCell="B2" sqref="B2:K18"/>
    </sheetView>
  </sheetViews>
  <sheetFormatPr defaultColWidth="9.140625" defaultRowHeight="15.75" x14ac:dyDescent="0.25"/>
  <cols>
    <col min="1" max="1" width="9.140625" style="1"/>
    <col min="2" max="2" width="62.140625" style="1" bestFit="1" customWidth="1"/>
    <col min="3" max="3" width="11.140625" style="1" bestFit="1" customWidth="1"/>
    <col min="4" max="4" width="14.5703125" style="1" bestFit="1" customWidth="1"/>
    <col min="5" max="5" width="13.42578125" style="1" bestFit="1" customWidth="1"/>
    <col min="6" max="6" width="16.140625" style="1" customWidth="1"/>
    <col min="7" max="7" width="16" style="1" bestFit="1" customWidth="1"/>
    <col min="8" max="8" width="9.140625" style="1"/>
    <col min="9" max="9" width="16.85546875" style="1" bestFit="1" customWidth="1"/>
    <col min="10" max="10" width="13.140625" style="1" bestFit="1" customWidth="1"/>
    <col min="11" max="11" width="29.7109375" style="1" bestFit="1" customWidth="1"/>
    <col min="12" max="16384" width="9.140625" style="1"/>
  </cols>
  <sheetData>
    <row r="1" spans="1:11" s="28" customFormat="1" ht="47.25" x14ac:dyDescent="0.25">
      <c r="A1" s="63" t="s">
        <v>91</v>
      </c>
      <c r="B1" s="177" t="s">
        <v>92</v>
      </c>
      <c r="C1" s="63" t="s">
        <v>195</v>
      </c>
      <c r="D1" s="63" t="s">
        <v>98</v>
      </c>
      <c r="E1" s="63" t="s">
        <v>97</v>
      </c>
      <c r="F1" s="63" t="s">
        <v>99</v>
      </c>
      <c r="G1" s="63" t="s">
        <v>100</v>
      </c>
      <c r="H1" s="63" t="s">
        <v>101</v>
      </c>
      <c r="I1" s="63" t="s">
        <v>102</v>
      </c>
      <c r="J1" s="63" t="s">
        <v>103</v>
      </c>
      <c r="K1" s="63" t="s">
        <v>156</v>
      </c>
    </row>
    <row r="2" spans="1:11" x14ac:dyDescent="0.25">
      <c r="A2" s="181">
        <v>1</v>
      </c>
      <c r="B2" s="178" t="s">
        <v>264</v>
      </c>
      <c r="C2" s="25" t="s">
        <v>234</v>
      </c>
      <c r="D2" s="25">
        <v>1</v>
      </c>
      <c r="E2" s="176">
        <v>521.13</v>
      </c>
      <c r="F2" s="26">
        <f>D2*E2</f>
        <v>521.13</v>
      </c>
      <c r="G2" s="25">
        <v>60</v>
      </c>
      <c r="H2" s="27">
        <f>F2*20%</f>
        <v>104.226</v>
      </c>
      <c r="I2" s="27">
        <f>F2-H2</f>
        <v>416.904</v>
      </c>
      <c r="J2" s="27">
        <f>I2/G2</f>
        <v>6.9484000000000004</v>
      </c>
      <c r="K2" s="132" t="s">
        <v>153</v>
      </c>
    </row>
    <row r="3" spans="1:11" x14ac:dyDescent="0.25">
      <c r="A3" s="181">
        <v>2</v>
      </c>
      <c r="B3" s="179" t="s">
        <v>312</v>
      </c>
      <c r="C3" s="25" t="s">
        <v>234</v>
      </c>
      <c r="D3" s="25">
        <v>1</v>
      </c>
      <c r="E3" s="176">
        <v>154</v>
      </c>
      <c r="F3" s="26">
        <f t="shared" ref="F3:F18" si="0">D3*E3</f>
        <v>154</v>
      </c>
      <c r="G3" s="25">
        <v>60</v>
      </c>
      <c r="H3" s="27">
        <f t="shared" ref="H3:H18" si="1">F3*20%</f>
        <v>30.8</v>
      </c>
      <c r="I3" s="27">
        <f t="shared" ref="I3:I18" si="2">F3-H3</f>
        <v>123.2</v>
      </c>
      <c r="J3" s="27">
        <f t="shared" ref="J3:J18" si="3">I3/G3</f>
        <v>2.0533333333333332</v>
      </c>
      <c r="K3" s="132" t="s">
        <v>153</v>
      </c>
    </row>
    <row r="4" spans="1:11" x14ac:dyDescent="0.25">
      <c r="A4" s="181">
        <v>3</v>
      </c>
      <c r="B4" s="178" t="s">
        <v>265</v>
      </c>
      <c r="C4" s="25" t="s">
        <v>234</v>
      </c>
      <c r="D4" s="25">
        <v>1</v>
      </c>
      <c r="E4" s="176">
        <v>2211.5300000000002</v>
      </c>
      <c r="F4" s="26">
        <f t="shared" si="0"/>
        <v>2211.5300000000002</v>
      </c>
      <c r="G4" s="25">
        <v>120</v>
      </c>
      <c r="H4" s="27">
        <f t="shared" si="1"/>
        <v>442.30600000000004</v>
      </c>
      <c r="I4" s="27">
        <f t="shared" si="2"/>
        <v>1769.2240000000002</v>
      </c>
      <c r="J4" s="27">
        <f t="shared" si="3"/>
        <v>14.743533333333335</v>
      </c>
      <c r="K4" s="132" t="s">
        <v>153</v>
      </c>
    </row>
    <row r="5" spans="1:11" x14ac:dyDescent="0.25">
      <c r="A5" s="181">
        <v>4</v>
      </c>
      <c r="B5" s="179" t="s">
        <v>266</v>
      </c>
      <c r="C5" s="25" t="s">
        <v>261</v>
      </c>
      <c r="D5" s="25">
        <v>1</v>
      </c>
      <c r="E5" s="176">
        <v>2299</v>
      </c>
      <c r="F5" s="26">
        <f t="shared" si="0"/>
        <v>2299</v>
      </c>
      <c r="G5" s="25">
        <v>60</v>
      </c>
      <c r="H5" s="27">
        <f t="shared" si="1"/>
        <v>459.8</v>
      </c>
      <c r="I5" s="27">
        <f t="shared" si="2"/>
        <v>1839.2</v>
      </c>
      <c r="J5" s="27">
        <f t="shared" si="3"/>
        <v>30.653333333333332</v>
      </c>
      <c r="K5" s="132" t="s">
        <v>153</v>
      </c>
    </row>
    <row r="6" spans="1:11" x14ac:dyDescent="0.25">
      <c r="A6" s="181">
        <v>5</v>
      </c>
      <c r="B6" s="178" t="s">
        <v>264</v>
      </c>
      <c r="C6" s="25" t="s">
        <v>234</v>
      </c>
      <c r="D6" s="25">
        <v>1</v>
      </c>
      <c r="E6" s="176">
        <v>521.13</v>
      </c>
      <c r="F6" s="26">
        <f>D6*E6</f>
        <v>521.13</v>
      </c>
      <c r="G6" s="25">
        <v>60</v>
      </c>
      <c r="H6" s="27">
        <f>F6*20%</f>
        <v>104.226</v>
      </c>
      <c r="I6" s="27">
        <f>F6-H6</f>
        <v>416.904</v>
      </c>
      <c r="J6" s="27">
        <f>I6/G6</f>
        <v>6.9484000000000004</v>
      </c>
      <c r="K6" s="132" t="s">
        <v>213</v>
      </c>
    </row>
    <row r="7" spans="1:11" x14ac:dyDescent="0.25">
      <c r="A7" s="181">
        <v>6</v>
      </c>
      <c r="B7" s="179" t="s">
        <v>312</v>
      </c>
      <c r="C7" s="25" t="s">
        <v>234</v>
      </c>
      <c r="D7" s="25">
        <v>1</v>
      </c>
      <c r="E7" s="176">
        <v>154</v>
      </c>
      <c r="F7" s="26">
        <f t="shared" ref="F7:F9" si="4">D7*E7</f>
        <v>154</v>
      </c>
      <c r="G7" s="25">
        <v>60</v>
      </c>
      <c r="H7" s="27">
        <f t="shared" ref="H7:H9" si="5">F7*20%</f>
        <v>30.8</v>
      </c>
      <c r="I7" s="27">
        <f t="shared" ref="I7:I9" si="6">F7-H7</f>
        <v>123.2</v>
      </c>
      <c r="J7" s="27">
        <f t="shared" ref="J7:J9" si="7">I7/G7</f>
        <v>2.0533333333333332</v>
      </c>
      <c r="K7" s="132" t="s">
        <v>213</v>
      </c>
    </row>
    <row r="8" spans="1:11" x14ac:dyDescent="0.25">
      <c r="A8" s="181">
        <v>7</v>
      </c>
      <c r="B8" s="178" t="s">
        <v>265</v>
      </c>
      <c r="C8" s="25" t="s">
        <v>234</v>
      </c>
      <c r="D8" s="25">
        <v>1</v>
      </c>
      <c r="E8" s="176">
        <v>2211.5300000000002</v>
      </c>
      <c r="F8" s="26">
        <f t="shared" si="4"/>
        <v>2211.5300000000002</v>
      </c>
      <c r="G8" s="25">
        <v>120</v>
      </c>
      <c r="H8" s="27">
        <f t="shared" si="5"/>
        <v>442.30600000000004</v>
      </c>
      <c r="I8" s="27">
        <f t="shared" si="6"/>
        <v>1769.2240000000002</v>
      </c>
      <c r="J8" s="27">
        <f t="shared" si="7"/>
        <v>14.743533333333335</v>
      </c>
      <c r="K8" s="132" t="s">
        <v>213</v>
      </c>
    </row>
    <row r="9" spans="1:11" x14ac:dyDescent="0.25">
      <c r="A9" s="181">
        <v>8</v>
      </c>
      <c r="B9" s="179" t="s">
        <v>266</v>
      </c>
      <c r="C9" s="25" t="s">
        <v>261</v>
      </c>
      <c r="D9" s="25">
        <v>1</v>
      </c>
      <c r="E9" s="176">
        <v>2299</v>
      </c>
      <c r="F9" s="26">
        <f t="shared" si="4"/>
        <v>2299</v>
      </c>
      <c r="G9" s="25">
        <v>60</v>
      </c>
      <c r="H9" s="27">
        <f t="shared" si="5"/>
        <v>459.8</v>
      </c>
      <c r="I9" s="27">
        <f t="shared" si="6"/>
        <v>1839.2</v>
      </c>
      <c r="J9" s="27">
        <f t="shared" si="7"/>
        <v>30.653333333333332</v>
      </c>
      <c r="K9" s="132" t="s">
        <v>213</v>
      </c>
    </row>
    <row r="10" spans="1:11" x14ac:dyDescent="0.25">
      <c r="A10" s="181">
        <v>9</v>
      </c>
      <c r="B10" s="180" t="s">
        <v>313</v>
      </c>
      <c r="C10" s="25" t="s">
        <v>234</v>
      </c>
      <c r="D10" s="25">
        <v>1</v>
      </c>
      <c r="E10" s="176">
        <v>264.39</v>
      </c>
      <c r="F10" s="26">
        <f t="shared" si="0"/>
        <v>264.39</v>
      </c>
      <c r="G10" s="134">
        <v>120</v>
      </c>
      <c r="H10" s="27">
        <f t="shared" si="1"/>
        <v>52.878</v>
      </c>
      <c r="I10" s="27">
        <f t="shared" si="2"/>
        <v>211.512</v>
      </c>
      <c r="J10" s="27">
        <f t="shared" si="3"/>
        <v>1.7625999999999999</v>
      </c>
      <c r="K10" s="132" t="s">
        <v>304</v>
      </c>
    </row>
    <row r="11" spans="1:11" x14ac:dyDescent="0.25">
      <c r="A11" s="181">
        <v>10</v>
      </c>
      <c r="B11" s="180" t="s">
        <v>314</v>
      </c>
      <c r="C11" s="25" t="s">
        <v>234</v>
      </c>
      <c r="D11" s="25">
        <v>1</v>
      </c>
      <c r="E11" s="176">
        <v>58.91</v>
      </c>
      <c r="F11" s="26">
        <f t="shared" si="0"/>
        <v>58.91</v>
      </c>
      <c r="G11" s="134">
        <v>120</v>
      </c>
      <c r="H11" s="27">
        <f t="shared" si="1"/>
        <v>11.782</v>
      </c>
      <c r="I11" s="27">
        <f t="shared" si="2"/>
        <v>47.128</v>
      </c>
      <c r="J11" s="27">
        <f t="shared" si="3"/>
        <v>0.39273333333333332</v>
      </c>
      <c r="K11" s="132" t="s">
        <v>304</v>
      </c>
    </row>
    <row r="12" spans="1:11" x14ac:dyDescent="0.25">
      <c r="A12" s="181">
        <v>11</v>
      </c>
      <c r="B12" s="180" t="s">
        <v>315</v>
      </c>
      <c r="C12" s="25" t="s">
        <v>234</v>
      </c>
      <c r="D12" s="25">
        <v>1</v>
      </c>
      <c r="E12" s="176">
        <v>29.41</v>
      </c>
      <c r="F12" s="26">
        <f t="shared" si="0"/>
        <v>29.41</v>
      </c>
      <c r="G12" s="134">
        <v>120</v>
      </c>
      <c r="H12" s="27">
        <f t="shared" si="1"/>
        <v>5.8820000000000006</v>
      </c>
      <c r="I12" s="27">
        <f t="shared" si="2"/>
        <v>23.527999999999999</v>
      </c>
      <c r="J12" s="27">
        <f t="shared" si="3"/>
        <v>0.19606666666666667</v>
      </c>
      <c r="K12" s="132" t="s">
        <v>304</v>
      </c>
    </row>
    <row r="13" spans="1:11" x14ac:dyDescent="0.25">
      <c r="A13" s="181">
        <v>12</v>
      </c>
      <c r="B13" s="180" t="s">
        <v>316</v>
      </c>
      <c r="C13" s="25" t="s">
        <v>261</v>
      </c>
      <c r="D13" s="25">
        <v>1</v>
      </c>
      <c r="E13" s="176">
        <v>75.900000000000006</v>
      </c>
      <c r="F13" s="26">
        <f t="shared" si="0"/>
        <v>75.900000000000006</v>
      </c>
      <c r="G13" s="134">
        <v>120</v>
      </c>
      <c r="H13" s="27">
        <f t="shared" si="1"/>
        <v>15.180000000000001</v>
      </c>
      <c r="I13" s="27">
        <f t="shared" si="2"/>
        <v>60.720000000000006</v>
      </c>
      <c r="J13" s="27">
        <f t="shared" si="3"/>
        <v>0.50600000000000001</v>
      </c>
      <c r="K13" s="132" t="s">
        <v>304</v>
      </c>
    </row>
    <row r="14" spans="1:11" x14ac:dyDescent="0.25">
      <c r="A14" s="181">
        <v>13</v>
      </c>
      <c r="B14" s="180" t="s">
        <v>317</v>
      </c>
      <c r="C14" s="25" t="s">
        <v>234</v>
      </c>
      <c r="D14" s="25">
        <v>1</v>
      </c>
      <c r="E14" s="176">
        <v>73.86</v>
      </c>
      <c r="F14" s="26">
        <f t="shared" si="0"/>
        <v>73.86</v>
      </c>
      <c r="G14" s="134">
        <v>120</v>
      </c>
      <c r="H14" s="27">
        <f t="shared" si="1"/>
        <v>14.772</v>
      </c>
      <c r="I14" s="27">
        <f t="shared" si="2"/>
        <v>59.088000000000001</v>
      </c>
      <c r="J14" s="27">
        <f t="shared" si="3"/>
        <v>0.4924</v>
      </c>
      <c r="K14" s="132" t="s">
        <v>304</v>
      </c>
    </row>
    <row r="15" spans="1:11" x14ac:dyDescent="0.25">
      <c r="A15" s="181">
        <v>14</v>
      </c>
      <c r="B15" s="180" t="s">
        <v>318</v>
      </c>
      <c r="C15" s="25" t="s">
        <v>234</v>
      </c>
      <c r="D15" s="25">
        <v>1</v>
      </c>
      <c r="E15" s="176">
        <v>277.3</v>
      </c>
      <c r="F15" s="26">
        <f t="shared" si="0"/>
        <v>277.3</v>
      </c>
      <c r="G15" s="134">
        <v>120</v>
      </c>
      <c r="H15" s="27">
        <f t="shared" si="1"/>
        <v>55.460000000000008</v>
      </c>
      <c r="I15" s="27">
        <f t="shared" si="2"/>
        <v>221.84</v>
      </c>
      <c r="J15" s="27">
        <f t="shared" si="3"/>
        <v>1.8486666666666667</v>
      </c>
      <c r="K15" s="132" t="s">
        <v>304</v>
      </c>
    </row>
    <row r="16" spans="1:11" x14ac:dyDescent="0.25">
      <c r="A16" s="181">
        <v>15</v>
      </c>
      <c r="B16" s="180" t="s">
        <v>319</v>
      </c>
      <c r="C16" s="25" t="s">
        <v>234</v>
      </c>
      <c r="D16" s="25">
        <v>1</v>
      </c>
      <c r="E16" s="176">
        <v>29.9</v>
      </c>
      <c r="F16" s="26">
        <f t="shared" si="0"/>
        <v>29.9</v>
      </c>
      <c r="G16" s="134">
        <v>120</v>
      </c>
      <c r="H16" s="27">
        <f t="shared" si="1"/>
        <v>5.98</v>
      </c>
      <c r="I16" s="27">
        <f t="shared" si="2"/>
        <v>23.919999999999998</v>
      </c>
      <c r="J16" s="27">
        <f t="shared" si="3"/>
        <v>0.19933333333333331</v>
      </c>
      <c r="K16" s="132" t="s">
        <v>304</v>
      </c>
    </row>
    <row r="17" spans="1:11" ht="45" x14ac:dyDescent="0.25">
      <c r="A17" s="181">
        <v>16</v>
      </c>
      <c r="B17" s="180" t="s">
        <v>320</v>
      </c>
      <c r="C17" s="25" t="s">
        <v>261</v>
      </c>
      <c r="D17" s="25">
        <v>1</v>
      </c>
      <c r="E17" s="176">
        <v>1599.9</v>
      </c>
      <c r="F17" s="26">
        <f t="shared" si="0"/>
        <v>1599.9</v>
      </c>
      <c r="G17" s="134">
        <v>120</v>
      </c>
      <c r="H17" s="27">
        <f t="shared" si="1"/>
        <v>319.98</v>
      </c>
      <c r="I17" s="27">
        <f t="shared" si="2"/>
        <v>1279.92</v>
      </c>
      <c r="J17" s="27">
        <f t="shared" si="3"/>
        <v>10.666</v>
      </c>
      <c r="K17" s="132" t="s">
        <v>304</v>
      </c>
    </row>
    <row r="18" spans="1:11" x14ac:dyDescent="0.25">
      <c r="A18" s="181">
        <v>17</v>
      </c>
      <c r="B18" s="180" t="s">
        <v>321</v>
      </c>
      <c r="C18" s="25" t="s">
        <v>261</v>
      </c>
      <c r="D18" s="25">
        <v>1</v>
      </c>
      <c r="E18" s="176">
        <v>54.8</v>
      </c>
      <c r="F18" s="26">
        <f t="shared" si="0"/>
        <v>54.8</v>
      </c>
      <c r="G18" s="134">
        <v>120</v>
      </c>
      <c r="H18" s="27">
        <f t="shared" si="1"/>
        <v>10.96</v>
      </c>
      <c r="I18" s="27">
        <f t="shared" si="2"/>
        <v>43.839999999999996</v>
      </c>
      <c r="J18" s="27">
        <f t="shared" si="3"/>
        <v>0.36533333333333329</v>
      </c>
      <c r="K18" s="132" t="s">
        <v>304</v>
      </c>
    </row>
    <row r="19" spans="1:11" s="229" customFormat="1" x14ac:dyDescent="0.25">
      <c r="E19" s="230"/>
      <c r="F19" s="230"/>
      <c r="H19" s="231"/>
      <c r="I19" s="231"/>
      <c r="J19" s="231"/>
    </row>
    <row r="20" spans="1:11" s="229" customFormat="1" x14ac:dyDescent="0.25">
      <c r="E20" s="230"/>
      <c r="F20" s="230"/>
      <c r="H20" s="231"/>
      <c r="I20" s="231"/>
      <c r="J20" s="231"/>
    </row>
    <row r="21" spans="1:11" s="229" customFormat="1" x14ac:dyDescent="0.25">
      <c r="E21" s="230"/>
      <c r="F21" s="230"/>
      <c r="H21" s="231"/>
      <c r="I21" s="231"/>
      <c r="J21" s="231"/>
    </row>
    <row r="22" spans="1:11" s="229" customFormat="1" x14ac:dyDescent="0.25">
      <c r="E22" s="230"/>
      <c r="F22" s="230"/>
      <c r="H22" s="231"/>
      <c r="I22" s="231"/>
      <c r="J22" s="231"/>
    </row>
    <row r="23" spans="1:11" s="229" customFormat="1" x14ac:dyDescent="0.25">
      <c r="E23" s="230"/>
      <c r="F23" s="230"/>
      <c r="H23" s="231"/>
      <c r="I23" s="231"/>
      <c r="J23" s="231"/>
    </row>
    <row r="24" spans="1:11" s="229" customFormat="1" x14ac:dyDescent="0.25">
      <c r="E24" s="230"/>
      <c r="F24" s="230"/>
      <c r="H24" s="231"/>
      <c r="I24" s="231"/>
      <c r="J24" s="231"/>
    </row>
    <row r="25" spans="1:11" s="229" customFormat="1" x14ac:dyDescent="0.25">
      <c r="E25" s="230"/>
      <c r="F25" s="230"/>
      <c r="H25" s="231"/>
      <c r="I25" s="231"/>
      <c r="J25" s="231"/>
    </row>
    <row r="26" spans="1:11" s="229" customFormat="1" x14ac:dyDescent="0.25">
      <c r="E26" s="230"/>
      <c r="F26" s="230"/>
      <c r="H26" s="231"/>
      <c r="I26" s="231"/>
      <c r="J26" s="231"/>
    </row>
    <row r="27" spans="1:11" s="229" customFormat="1" x14ac:dyDescent="0.25">
      <c r="E27" s="230"/>
      <c r="F27" s="230"/>
      <c r="H27" s="231"/>
      <c r="I27" s="231"/>
      <c r="J27" s="231"/>
    </row>
    <row r="28" spans="1:11" s="229" customFormat="1" x14ac:dyDescent="0.25">
      <c r="E28" s="230"/>
      <c r="F28" s="230"/>
      <c r="H28" s="231"/>
      <c r="I28" s="231"/>
      <c r="J28" s="231"/>
    </row>
    <row r="29" spans="1:11" s="229" customFormat="1" x14ac:dyDescent="0.25">
      <c r="E29" s="230"/>
      <c r="F29" s="230"/>
      <c r="H29" s="231"/>
      <c r="I29" s="231"/>
      <c r="J29" s="231"/>
    </row>
    <row r="30" spans="1:11" s="229" customFormat="1" x14ac:dyDescent="0.25">
      <c r="E30" s="230"/>
      <c r="F30" s="230"/>
      <c r="H30" s="231"/>
      <c r="I30" s="231"/>
      <c r="J30" s="231"/>
    </row>
    <row r="31" spans="1:11" s="229" customFormat="1" x14ac:dyDescent="0.25">
      <c r="E31" s="230"/>
      <c r="F31" s="230"/>
      <c r="H31" s="231"/>
      <c r="I31" s="231"/>
      <c r="J31" s="231"/>
    </row>
    <row r="32" spans="1:11" s="229" customFormat="1" x14ac:dyDescent="0.25">
      <c r="E32" s="230"/>
      <c r="F32" s="230"/>
      <c r="H32" s="231"/>
      <c r="I32" s="231"/>
      <c r="J32" s="231"/>
    </row>
    <row r="33" spans="5:10" s="229" customFormat="1" x14ac:dyDescent="0.25">
      <c r="E33" s="230"/>
      <c r="F33" s="230"/>
      <c r="H33" s="231"/>
      <c r="I33" s="231"/>
      <c r="J33" s="231"/>
    </row>
    <row r="34" spans="5:10" s="229" customFormat="1" x14ac:dyDescent="0.25">
      <c r="E34" s="230"/>
      <c r="F34" s="230"/>
      <c r="H34" s="231"/>
      <c r="I34" s="231"/>
      <c r="J34" s="231"/>
    </row>
    <row r="35" spans="5:10" s="229" customFormat="1" x14ac:dyDescent="0.25">
      <c r="E35" s="230"/>
      <c r="F35" s="230"/>
      <c r="H35" s="231"/>
      <c r="I35" s="231"/>
      <c r="J35" s="231"/>
    </row>
    <row r="36" spans="5:10" s="229" customFormat="1" x14ac:dyDescent="0.25">
      <c r="E36" s="230"/>
      <c r="F36" s="230"/>
      <c r="H36" s="231"/>
      <c r="I36" s="231"/>
      <c r="J36" s="231"/>
    </row>
    <row r="37" spans="5:10" s="229" customFormat="1" x14ac:dyDescent="0.25">
      <c r="E37" s="230"/>
      <c r="F37" s="230"/>
      <c r="H37" s="231"/>
      <c r="I37" s="231"/>
      <c r="J37" s="231"/>
    </row>
    <row r="38" spans="5:10" s="229" customFormat="1" x14ac:dyDescent="0.25">
      <c r="E38" s="230"/>
      <c r="F38" s="230"/>
      <c r="H38" s="231"/>
      <c r="I38" s="231"/>
      <c r="J38" s="231"/>
    </row>
    <row r="39" spans="5:10" s="229" customFormat="1" x14ac:dyDescent="0.25">
      <c r="E39" s="230"/>
      <c r="F39" s="230"/>
      <c r="H39" s="231"/>
      <c r="I39" s="231"/>
      <c r="J39" s="231"/>
    </row>
    <row r="40" spans="5:10" s="229" customFormat="1" x14ac:dyDescent="0.25">
      <c r="E40" s="230"/>
      <c r="F40" s="230"/>
      <c r="H40" s="231"/>
      <c r="I40" s="231"/>
      <c r="J40" s="231"/>
    </row>
    <row r="41" spans="5:10" s="229" customFormat="1" x14ac:dyDescent="0.25">
      <c r="E41" s="230"/>
      <c r="F41" s="230"/>
      <c r="H41" s="231"/>
      <c r="I41" s="231"/>
      <c r="J41" s="231"/>
    </row>
    <row r="42" spans="5:10" s="229" customFormat="1" x14ac:dyDescent="0.25">
      <c r="E42" s="230"/>
      <c r="F42" s="230"/>
      <c r="H42" s="231"/>
      <c r="I42" s="231"/>
      <c r="J42" s="231"/>
    </row>
    <row r="43" spans="5:10" s="229" customFormat="1" x14ac:dyDescent="0.25">
      <c r="E43" s="230"/>
      <c r="F43" s="230"/>
      <c r="H43" s="231"/>
      <c r="I43" s="231"/>
      <c r="J43" s="231"/>
    </row>
    <row r="44" spans="5:10" s="229" customFormat="1" x14ac:dyDescent="0.25">
      <c r="E44" s="230"/>
      <c r="F44" s="230"/>
      <c r="H44" s="231"/>
      <c r="I44" s="231"/>
      <c r="J44" s="231"/>
    </row>
    <row r="45" spans="5:10" s="229" customFormat="1" x14ac:dyDescent="0.25">
      <c r="E45" s="230"/>
      <c r="F45" s="230"/>
      <c r="H45" s="231"/>
      <c r="I45" s="231"/>
      <c r="J45" s="231"/>
    </row>
    <row r="46" spans="5:10" s="229" customFormat="1" x14ac:dyDescent="0.25">
      <c r="E46" s="230"/>
      <c r="F46" s="230"/>
      <c r="H46" s="231"/>
      <c r="I46" s="231"/>
      <c r="J46" s="231"/>
    </row>
    <row r="47" spans="5:10" s="229" customFormat="1" x14ac:dyDescent="0.25">
      <c r="E47" s="230"/>
      <c r="F47" s="230"/>
      <c r="H47" s="231"/>
      <c r="I47" s="231"/>
      <c r="J47" s="231"/>
    </row>
    <row r="48" spans="5:10" s="229" customFormat="1" x14ac:dyDescent="0.25">
      <c r="E48" s="230"/>
      <c r="F48" s="230"/>
      <c r="H48" s="231"/>
      <c r="I48" s="231"/>
      <c r="J48" s="231"/>
    </row>
    <row r="49" spans="5:10" s="229" customFormat="1" x14ac:dyDescent="0.25">
      <c r="E49" s="230"/>
      <c r="F49" s="230"/>
      <c r="H49" s="231"/>
      <c r="I49" s="231"/>
      <c r="J49" s="231"/>
    </row>
    <row r="50" spans="5:10" s="229" customFormat="1" x14ac:dyDescent="0.25">
      <c r="E50" s="230"/>
      <c r="F50" s="230"/>
      <c r="H50" s="231"/>
      <c r="I50" s="231"/>
      <c r="J50" s="231"/>
    </row>
    <row r="51" spans="5:10" s="229" customFormat="1" x14ac:dyDescent="0.25">
      <c r="E51" s="230"/>
      <c r="F51" s="230"/>
      <c r="H51" s="231"/>
      <c r="I51" s="231"/>
      <c r="J51" s="231"/>
    </row>
    <row r="52" spans="5:10" s="229" customFormat="1" x14ac:dyDescent="0.25">
      <c r="E52" s="230"/>
      <c r="F52" s="230"/>
      <c r="H52" s="231"/>
      <c r="I52" s="231"/>
      <c r="J52" s="231"/>
    </row>
    <row r="53" spans="5:10" s="229" customFormat="1" x14ac:dyDescent="0.25">
      <c r="E53" s="230"/>
      <c r="F53" s="230"/>
      <c r="H53" s="231"/>
      <c r="I53" s="231"/>
      <c r="J53" s="231"/>
    </row>
    <row r="54" spans="5:10" s="229" customFormat="1" x14ac:dyDescent="0.25">
      <c r="E54" s="230"/>
      <c r="F54" s="230"/>
      <c r="H54" s="231"/>
      <c r="I54" s="231"/>
      <c r="J54" s="231"/>
    </row>
    <row r="55" spans="5:10" s="229" customFormat="1" x14ac:dyDescent="0.25">
      <c r="E55" s="230"/>
      <c r="F55" s="230"/>
      <c r="H55" s="231"/>
      <c r="I55" s="231"/>
      <c r="J55" s="231"/>
    </row>
    <row r="56" spans="5:10" s="229" customFormat="1" x14ac:dyDescent="0.25">
      <c r="E56" s="230"/>
      <c r="F56" s="230"/>
      <c r="H56" s="231"/>
      <c r="I56" s="231"/>
      <c r="J56" s="231"/>
    </row>
    <row r="57" spans="5:10" s="229" customFormat="1" x14ac:dyDescent="0.25">
      <c r="E57" s="230"/>
      <c r="F57" s="230"/>
      <c r="H57" s="231"/>
      <c r="I57" s="231"/>
      <c r="J57" s="231"/>
    </row>
    <row r="58" spans="5:10" s="229" customFormat="1" x14ac:dyDescent="0.25">
      <c r="E58" s="230"/>
      <c r="F58" s="230"/>
      <c r="H58" s="231"/>
      <c r="I58" s="231"/>
      <c r="J58" s="231"/>
    </row>
    <row r="59" spans="5:10" s="229" customFormat="1" x14ac:dyDescent="0.25">
      <c r="E59" s="230"/>
      <c r="F59" s="230"/>
      <c r="H59" s="231"/>
      <c r="I59" s="231"/>
      <c r="J59" s="231"/>
    </row>
    <row r="60" spans="5:10" s="229" customFormat="1" x14ac:dyDescent="0.25">
      <c r="E60" s="230"/>
      <c r="F60" s="230"/>
      <c r="H60" s="231"/>
      <c r="I60" s="231"/>
      <c r="J60" s="231"/>
    </row>
    <row r="61" spans="5:10" s="229" customFormat="1" x14ac:dyDescent="0.25">
      <c r="E61" s="230"/>
      <c r="F61" s="230"/>
      <c r="H61" s="231"/>
      <c r="I61" s="231"/>
      <c r="J61" s="231"/>
    </row>
    <row r="62" spans="5:10" s="229" customFormat="1" x14ac:dyDescent="0.25">
      <c r="E62" s="230"/>
      <c r="F62" s="230"/>
      <c r="H62" s="231"/>
      <c r="I62" s="231"/>
      <c r="J62" s="231"/>
    </row>
    <row r="63" spans="5:10" s="229" customFormat="1" x14ac:dyDescent="0.25">
      <c r="E63" s="230"/>
      <c r="F63" s="230"/>
      <c r="H63" s="231"/>
      <c r="I63" s="231"/>
      <c r="J63" s="231"/>
    </row>
    <row r="64" spans="5:10" s="229" customFormat="1" x14ac:dyDescent="0.25">
      <c r="E64" s="230"/>
      <c r="F64" s="230"/>
      <c r="H64" s="231"/>
      <c r="I64" s="231"/>
      <c r="J64" s="231"/>
    </row>
    <row r="65" spans="5:10" s="229" customFormat="1" x14ac:dyDescent="0.25">
      <c r="E65" s="230"/>
      <c r="F65" s="230"/>
      <c r="H65" s="231"/>
      <c r="I65" s="231"/>
      <c r="J65" s="231"/>
    </row>
    <row r="66" spans="5:10" s="229" customFormat="1" x14ac:dyDescent="0.25">
      <c r="E66" s="230"/>
      <c r="F66" s="230"/>
      <c r="H66" s="231"/>
      <c r="I66" s="231"/>
      <c r="J66" s="231"/>
    </row>
    <row r="67" spans="5:10" s="229" customFormat="1" x14ac:dyDescent="0.25">
      <c r="E67" s="230"/>
      <c r="F67" s="230"/>
      <c r="H67" s="231"/>
      <c r="I67" s="231"/>
      <c r="J67" s="231"/>
    </row>
    <row r="68" spans="5:10" s="229" customFormat="1" x14ac:dyDescent="0.25">
      <c r="E68" s="230"/>
      <c r="F68" s="230"/>
      <c r="H68" s="231"/>
      <c r="I68" s="231"/>
      <c r="J68" s="231"/>
    </row>
    <row r="69" spans="5:10" s="229" customFormat="1" x14ac:dyDescent="0.25">
      <c r="E69" s="230"/>
      <c r="F69" s="230"/>
      <c r="H69" s="231"/>
      <c r="I69" s="231"/>
      <c r="J69" s="231"/>
    </row>
    <row r="70" spans="5:10" s="229" customFormat="1" x14ac:dyDescent="0.25">
      <c r="E70" s="230"/>
      <c r="F70" s="230"/>
      <c r="H70" s="231"/>
      <c r="I70" s="231"/>
      <c r="J70" s="231"/>
    </row>
    <row r="71" spans="5:10" s="229" customFormat="1" x14ac:dyDescent="0.25">
      <c r="E71" s="230"/>
      <c r="F71" s="230"/>
      <c r="H71" s="231"/>
      <c r="I71" s="231"/>
      <c r="J71" s="231"/>
    </row>
    <row r="72" spans="5:10" s="229" customFormat="1" x14ac:dyDescent="0.25">
      <c r="E72" s="230"/>
      <c r="F72" s="230"/>
      <c r="H72" s="231"/>
      <c r="I72" s="231"/>
      <c r="J72" s="231"/>
    </row>
    <row r="73" spans="5:10" s="229" customFormat="1" x14ac:dyDescent="0.25">
      <c r="E73" s="230"/>
      <c r="F73" s="230"/>
      <c r="H73" s="231"/>
      <c r="I73" s="231"/>
      <c r="J73" s="231"/>
    </row>
    <row r="74" spans="5:10" s="229" customFormat="1" x14ac:dyDescent="0.25">
      <c r="E74" s="230"/>
      <c r="F74" s="230"/>
      <c r="H74" s="231"/>
      <c r="I74" s="231"/>
      <c r="J74" s="231"/>
    </row>
    <row r="75" spans="5:10" s="229" customFormat="1" x14ac:dyDescent="0.25">
      <c r="E75" s="230"/>
      <c r="F75" s="230"/>
      <c r="H75" s="231"/>
      <c r="I75" s="231"/>
      <c r="J75" s="231"/>
    </row>
    <row r="76" spans="5:10" s="229" customFormat="1" x14ac:dyDescent="0.25">
      <c r="E76" s="230"/>
      <c r="F76" s="230"/>
      <c r="H76" s="231"/>
      <c r="I76" s="231"/>
      <c r="J76" s="231"/>
    </row>
    <row r="77" spans="5:10" s="229" customFormat="1" x14ac:dyDescent="0.25">
      <c r="E77" s="230"/>
      <c r="F77" s="230"/>
      <c r="H77" s="231"/>
      <c r="I77" s="231"/>
      <c r="J77" s="231"/>
    </row>
    <row r="78" spans="5:10" s="229" customFormat="1" x14ac:dyDescent="0.25">
      <c r="E78" s="230"/>
      <c r="F78" s="230"/>
      <c r="H78" s="231"/>
      <c r="I78" s="231"/>
      <c r="J78" s="231"/>
    </row>
    <row r="79" spans="5:10" s="229" customFormat="1" x14ac:dyDescent="0.25">
      <c r="E79" s="230"/>
      <c r="F79" s="230"/>
      <c r="H79" s="231"/>
      <c r="I79" s="231"/>
      <c r="J79" s="231"/>
    </row>
    <row r="80" spans="5:10" s="229" customFormat="1" x14ac:dyDescent="0.25">
      <c r="E80" s="230"/>
      <c r="F80" s="230"/>
      <c r="H80" s="231"/>
      <c r="I80" s="231"/>
      <c r="J80" s="231"/>
    </row>
    <row r="81" spans="5:10" s="229" customFormat="1" x14ac:dyDescent="0.25">
      <c r="E81" s="230"/>
      <c r="F81" s="230"/>
      <c r="H81" s="231"/>
      <c r="I81" s="231"/>
      <c r="J81" s="231"/>
    </row>
    <row r="82" spans="5:10" s="229" customFormat="1" x14ac:dyDescent="0.25">
      <c r="E82" s="230"/>
      <c r="F82" s="230"/>
      <c r="H82" s="231"/>
      <c r="I82" s="231"/>
      <c r="J82" s="231"/>
    </row>
    <row r="83" spans="5:10" s="229" customFormat="1" x14ac:dyDescent="0.25">
      <c r="E83" s="230"/>
      <c r="F83" s="230"/>
      <c r="H83" s="231"/>
      <c r="I83" s="231"/>
      <c r="J83" s="231"/>
    </row>
    <row r="84" spans="5:10" s="229" customFormat="1" x14ac:dyDescent="0.25">
      <c r="E84" s="230"/>
      <c r="F84" s="230"/>
      <c r="H84" s="231"/>
      <c r="I84" s="231"/>
      <c r="J84" s="231"/>
    </row>
    <row r="85" spans="5:10" s="229" customFormat="1" x14ac:dyDescent="0.25">
      <c r="E85" s="230"/>
      <c r="F85" s="230"/>
      <c r="H85" s="231"/>
      <c r="I85" s="231"/>
      <c r="J85" s="231"/>
    </row>
    <row r="86" spans="5:10" s="229" customFormat="1" x14ac:dyDescent="0.25">
      <c r="E86" s="230"/>
      <c r="F86" s="230"/>
      <c r="H86" s="231"/>
      <c r="I86" s="231"/>
      <c r="J86" s="231"/>
    </row>
    <row r="87" spans="5:10" s="229" customFormat="1" x14ac:dyDescent="0.25">
      <c r="E87" s="230"/>
      <c r="F87" s="230"/>
      <c r="H87" s="231"/>
      <c r="I87" s="231"/>
      <c r="J87" s="231"/>
    </row>
    <row r="88" spans="5:10" s="229" customFormat="1" x14ac:dyDescent="0.25">
      <c r="E88" s="230"/>
      <c r="F88" s="230"/>
      <c r="H88" s="231"/>
      <c r="I88" s="231"/>
      <c r="J88" s="231"/>
    </row>
    <row r="89" spans="5:10" s="229" customFormat="1" x14ac:dyDescent="0.25">
      <c r="E89" s="230"/>
      <c r="F89" s="230"/>
      <c r="H89" s="231"/>
      <c r="I89" s="231"/>
      <c r="J89" s="231"/>
    </row>
    <row r="90" spans="5:10" s="229" customFormat="1" x14ac:dyDescent="0.25">
      <c r="E90" s="230"/>
      <c r="F90" s="230"/>
      <c r="H90" s="231"/>
      <c r="I90" s="231"/>
      <c r="J90" s="231"/>
    </row>
    <row r="91" spans="5:10" s="229" customFormat="1" x14ac:dyDescent="0.25">
      <c r="E91" s="230"/>
      <c r="F91" s="230"/>
      <c r="H91" s="231"/>
      <c r="I91" s="231"/>
      <c r="J91" s="231"/>
    </row>
    <row r="92" spans="5:10" s="229" customFormat="1" x14ac:dyDescent="0.25">
      <c r="E92" s="230"/>
      <c r="F92" s="230"/>
      <c r="H92" s="231"/>
      <c r="I92" s="231"/>
      <c r="J92" s="231"/>
    </row>
    <row r="93" spans="5:10" s="229" customFormat="1" x14ac:dyDescent="0.25">
      <c r="E93" s="230"/>
      <c r="F93" s="230"/>
      <c r="H93" s="231"/>
      <c r="I93" s="231"/>
      <c r="J93" s="231"/>
    </row>
    <row r="94" spans="5:10" s="229" customFormat="1" x14ac:dyDescent="0.25">
      <c r="E94" s="230"/>
      <c r="F94" s="230"/>
      <c r="H94" s="231"/>
      <c r="I94" s="231"/>
      <c r="J94" s="231"/>
    </row>
    <row r="95" spans="5:10" s="229" customFormat="1" x14ac:dyDescent="0.25">
      <c r="E95" s="230"/>
      <c r="F95" s="230"/>
      <c r="H95" s="231"/>
      <c r="I95" s="231"/>
      <c r="J95" s="231"/>
    </row>
    <row r="96" spans="5:10" s="229" customFormat="1" x14ac:dyDescent="0.25">
      <c r="E96" s="230"/>
      <c r="F96" s="230"/>
      <c r="H96" s="231"/>
      <c r="I96" s="231"/>
      <c r="J96" s="231"/>
    </row>
    <row r="97" spans="5:10" s="229" customFormat="1" x14ac:dyDescent="0.25">
      <c r="E97" s="230"/>
      <c r="F97" s="230"/>
      <c r="H97" s="231"/>
      <c r="I97" s="231"/>
      <c r="J97" s="231"/>
    </row>
    <row r="98" spans="5:10" s="229" customFormat="1" x14ac:dyDescent="0.25">
      <c r="E98" s="230"/>
      <c r="F98" s="230"/>
      <c r="H98" s="231"/>
      <c r="I98" s="231"/>
      <c r="J98" s="231"/>
    </row>
    <row r="99" spans="5:10" s="229" customFormat="1" x14ac:dyDescent="0.25">
      <c r="E99" s="230"/>
      <c r="F99" s="230"/>
      <c r="H99" s="231"/>
      <c r="I99" s="231"/>
      <c r="J99" s="231"/>
    </row>
    <row r="100" spans="5:10" s="229" customFormat="1" x14ac:dyDescent="0.25">
      <c r="E100" s="230"/>
      <c r="F100" s="230"/>
      <c r="H100" s="231"/>
      <c r="I100" s="231"/>
      <c r="J100" s="231"/>
    </row>
    <row r="101" spans="5:10" s="229" customFormat="1" x14ac:dyDescent="0.25">
      <c r="E101" s="230"/>
      <c r="F101" s="230"/>
      <c r="H101" s="231"/>
      <c r="I101" s="231"/>
      <c r="J101" s="231"/>
    </row>
    <row r="102" spans="5:10" s="229" customFormat="1" x14ac:dyDescent="0.25">
      <c r="E102" s="230"/>
      <c r="F102" s="230"/>
      <c r="H102" s="231"/>
      <c r="I102" s="231"/>
      <c r="J102" s="231"/>
    </row>
    <row r="103" spans="5:10" s="229" customFormat="1" x14ac:dyDescent="0.25">
      <c r="E103" s="230"/>
      <c r="F103" s="230"/>
      <c r="H103" s="231"/>
      <c r="I103" s="231"/>
      <c r="J103" s="231"/>
    </row>
    <row r="104" spans="5:10" s="229" customFormat="1" x14ac:dyDescent="0.25">
      <c r="E104" s="230"/>
      <c r="F104" s="230"/>
      <c r="H104" s="231"/>
      <c r="I104" s="231"/>
      <c r="J104" s="231"/>
    </row>
    <row r="105" spans="5:10" s="229" customFormat="1" x14ac:dyDescent="0.25">
      <c r="E105" s="230"/>
      <c r="F105" s="230"/>
      <c r="H105" s="231"/>
      <c r="I105" s="231"/>
      <c r="J105" s="231"/>
    </row>
    <row r="106" spans="5:10" s="229" customFormat="1" x14ac:dyDescent="0.25">
      <c r="E106" s="230"/>
      <c r="F106" s="230"/>
      <c r="H106" s="231"/>
      <c r="I106" s="231"/>
      <c r="J106" s="231"/>
    </row>
    <row r="107" spans="5:10" s="229" customFormat="1" x14ac:dyDescent="0.25">
      <c r="E107" s="230"/>
      <c r="F107" s="230"/>
      <c r="H107" s="231"/>
      <c r="I107" s="231"/>
      <c r="J107" s="231"/>
    </row>
    <row r="108" spans="5:10" s="229" customFormat="1" x14ac:dyDescent="0.25">
      <c r="E108" s="230"/>
      <c r="F108" s="230"/>
      <c r="H108" s="231"/>
      <c r="I108" s="231"/>
      <c r="J108" s="231"/>
    </row>
    <row r="109" spans="5:10" s="229" customFormat="1" x14ac:dyDescent="0.25">
      <c r="E109" s="230"/>
      <c r="F109" s="230"/>
      <c r="H109" s="231"/>
      <c r="I109" s="231"/>
      <c r="J109" s="231"/>
    </row>
    <row r="110" spans="5:10" s="229" customFormat="1" x14ac:dyDescent="0.25">
      <c r="E110" s="230"/>
      <c r="F110" s="230"/>
      <c r="H110" s="231"/>
      <c r="I110" s="231"/>
      <c r="J110" s="231"/>
    </row>
    <row r="111" spans="5:10" s="229" customFormat="1" x14ac:dyDescent="0.25">
      <c r="E111" s="230"/>
      <c r="F111" s="230"/>
      <c r="H111" s="231"/>
      <c r="I111" s="231"/>
      <c r="J111" s="231"/>
    </row>
    <row r="112" spans="5:10" s="229" customFormat="1" x14ac:dyDescent="0.25">
      <c r="E112" s="230"/>
      <c r="F112" s="230"/>
      <c r="H112" s="231"/>
      <c r="I112" s="231"/>
      <c r="J112" s="231"/>
    </row>
    <row r="113" spans="5:10" s="229" customFormat="1" x14ac:dyDescent="0.25">
      <c r="E113" s="230"/>
      <c r="F113" s="230"/>
      <c r="H113" s="231"/>
      <c r="I113" s="231"/>
      <c r="J113" s="231"/>
    </row>
    <row r="114" spans="5:10" s="229" customFormat="1" x14ac:dyDescent="0.25">
      <c r="E114" s="230"/>
      <c r="F114" s="230"/>
      <c r="H114" s="231"/>
      <c r="I114" s="231"/>
      <c r="J114" s="231"/>
    </row>
    <row r="115" spans="5:10" s="229" customFormat="1" x14ac:dyDescent="0.25">
      <c r="E115" s="230"/>
      <c r="F115" s="230"/>
      <c r="H115" s="231"/>
      <c r="I115" s="231"/>
      <c r="J115" s="231"/>
    </row>
    <row r="116" spans="5:10" s="229" customFormat="1" x14ac:dyDescent="0.25">
      <c r="E116" s="230"/>
      <c r="F116" s="230"/>
      <c r="H116" s="231"/>
      <c r="I116" s="231"/>
      <c r="J116" s="231"/>
    </row>
    <row r="117" spans="5:10" s="229" customFormat="1" x14ac:dyDescent="0.25">
      <c r="E117" s="230"/>
      <c r="F117" s="230"/>
      <c r="H117" s="231"/>
      <c r="I117" s="231"/>
      <c r="J117" s="231"/>
    </row>
    <row r="118" spans="5:10" s="229" customFormat="1" x14ac:dyDescent="0.25">
      <c r="E118" s="230"/>
      <c r="F118" s="230"/>
      <c r="H118" s="231"/>
      <c r="I118" s="231"/>
      <c r="J118" s="231"/>
    </row>
    <row r="119" spans="5:10" s="229" customFormat="1" x14ac:dyDescent="0.25">
      <c r="E119" s="230"/>
      <c r="F119" s="230"/>
      <c r="H119" s="231"/>
      <c r="I119" s="231"/>
      <c r="J119" s="231"/>
    </row>
    <row r="120" spans="5:10" s="229" customFormat="1" x14ac:dyDescent="0.25">
      <c r="E120" s="230"/>
      <c r="F120" s="230"/>
      <c r="H120" s="231"/>
      <c r="I120" s="231"/>
      <c r="J120" s="231"/>
    </row>
    <row r="121" spans="5:10" s="229" customFormat="1" x14ac:dyDescent="0.25">
      <c r="E121" s="230"/>
      <c r="F121" s="230"/>
      <c r="H121" s="231"/>
      <c r="I121" s="231"/>
      <c r="J121" s="231"/>
    </row>
    <row r="122" spans="5:10" s="229" customFormat="1" x14ac:dyDescent="0.25">
      <c r="E122" s="230"/>
      <c r="F122" s="230"/>
      <c r="H122" s="231"/>
      <c r="I122" s="231"/>
      <c r="J122" s="231"/>
    </row>
    <row r="123" spans="5:10" s="229" customFormat="1" x14ac:dyDescent="0.25">
      <c r="E123" s="230"/>
      <c r="F123" s="230"/>
      <c r="H123" s="231"/>
      <c r="I123" s="231"/>
      <c r="J123" s="231"/>
    </row>
    <row r="124" spans="5:10" s="229" customFormat="1" x14ac:dyDescent="0.25">
      <c r="E124" s="230"/>
      <c r="F124" s="230"/>
      <c r="H124" s="231"/>
      <c r="I124" s="231"/>
      <c r="J124" s="231"/>
    </row>
    <row r="125" spans="5:10" s="229" customFormat="1" x14ac:dyDescent="0.25">
      <c r="E125" s="230"/>
      <c r="F125" s="230"/>
      <c r="H125" s="231"/>
      <c r="I125" s="231"/>
      <c r="J125" s="231"/>
    </row>
    <row r="126" spans="5:10" s="229" customFormat="1" x14ac:dyDescent="0.25">
      <c r="E126" s="230"/>
      <c r="F126" s="230"/>
      <c r="H126" s="231"/>
      <c r="I126" s="231"/>
      <c r="J126" s="231"/>
    </row>
    <row r="127" spans="5:10" s="229" customFormat="1" x14ac:dyDescent="0.25">
      <c r="E127" s="230"/>
      <c r="F127" s="230"/>
      <c r="H127" s="231"/>
      <c r="I127" s="231"/>
      <c r="J127" s="231"/>
    </row>
    <row r="128" spans="5:10" s="229" customFormat="1" x14ac:dyDescent="0.25">
      <c r="E128" s="230"/>
      <c r="F128" s="230"/>
      <c r="H128" s="231"/>
      <c r="I128" s="231"/>
      <c r="J128" s="231"/>
    </row>
    <row r="129" spans="5:10" s="229" customFormat="1" x14ac:dyDescent="0.25">
      <c r="E129" s="230"/>
      <c r="F129" s="230"/>
      <c r="H129" s="231"/>
      <c r="I129" s="231"/>
      <c r="J129" s="231"/>
    </row>
    <row r="130" spans="5:10" s="229" customFormat="1" x14ac:dyDescent="0.25">
      <c r="E130" s="230"/>
      <c r="F130" s="230"/>
      <c r="H130" s="231"/>
      <c r="I130" s="231"/>
      <c r="J130" s="231"/>
    </row>
    <row r="131" spans="5:10" s="229" customFormat="1" x14ac:dyDescent="0.25">
      <c r="E131" s="230"/>
      <c r="F131" s="230"/>
      <c r="H131" s="231"/>
      <c r="I131" s="231"/>
      <c r="J131" s="231"/>
    </row>
    <row r="132" spans="5:10" s="229" customFormat="1" x14ac:dyDescent="0.25">
      <c r="E132" s="230"/>
      <c r="F132" s="230"/>
      <c r="H132" s="231"/>
      <c r="I132" s="231"/>
      <c r="J132" s="231"/>
    </row>
    <row r="133" spans="5:10" s="229" customFormat="1" x14ac:dyDescent="0.25">
      <c r="E133" s="230"/>
      <c r="F133" s="230"/>
      <c r="H133" s="231"/>
      <c r="I133" s="231"/>
      <c r="J133" s="231"/>
    </row>
    <row r="134" spans="5:10" s="229" customFormat="1" x14ac:dyDescent="0.25">
      <c r="E134" s="230"/>
      <c r="F134" s="230"/>
      <c r="H134" s="231"/>
      <c r="I134" s="231"/>
      <c r="J134" s="231"/>
    </row>
    <row r="135" spans="5:10" s="229" customFormat="1" x14ac:dyDescent="0.25">
      <c r="E135" s="230"/>
      <c r="F135" s="230"/>
      <c r="H135" s="231"/>
      <c r="I135" s="231"/>
      <c r="J135" s="231"/>
    </row>
    <row r="136" spans="5:10" s="229" customFormat="1" x14ac:dyDescent="0.25">
      <c r="E136" s="230"/>
      <c r="F136" s="230"/>
      <c r="H136" s="231"/>
      <c r="I136" s="231"/>
      <c r="J136" s="231"/>
    </row>
    <row r="137" spans="5:10" s="229" customFormat="1" x14ac:dyDescent="0.25">
      <c r="E137" s="230"/>
      <c r="F137" s="230"/>
      <c r="H137" s="231"/>
      <c r="I137" s="231"/>
      <c r="J137" s="231"/>
    </row>
    <row r="138" spans="5:10" s="229" customFormat="1" x14ac:dyDescent="0.25">
      <c r="E138" s="230"/>
      <c r="F138" s="230"/>
      <c r="H138" s="231"/>
      <c r="I138" s="231"/>
      <c r="J138" s="231"/>
    </row>
    <row r="139" spans="5:10" s="229" customFormat="1" x14ac:dyDescent="0.25">
      <c r="E139" s="230"/>
      <c r="F139" s="230"/>
      <c r="H139" s="231"/>
      <c r="I139" s="231"/>
      <c r="J139" s="231"/>
    </row>
    <row r="140" spans="5:10" s="229" customFormat="1" x14ac:dyDescent="0.25">
      <c r="E140" s="230"/>
      <c r="F140" s="230"/>
      <c r="H140" s="231"/>
      <c r="I140" s="231"/>
      <c r="J140" s="231"/>
    </row>
    <row r="141" spans="5:10" s="229" customFormat="1" x14ac:dyDescent="0.25">
      <c r="E141" s="230"/>
      <c r="F141" s="230"/>
      <c r="H141" s="231"/>
      <c r="I141" s="231"/>
      <c r="J141" s="231"/>
    </row>
    <row r="142" spans="5:10" s="229" customFormat="1" x14ac:dyDescent="0.25">
      <c r="E142" s="230"/>
      <c r="F142" s="230"/>
      <c r="H142" s="231"/>
      <c r="I142" s="231"/>
      <c r="J142" s="231"/>
    </row>
    <row r="143" spans="5:10" s="229" customFormat="1" x14ac:dyDescent="0.25">
      <c r="E143" s="230"/>
      <c r="F143" s="230"/>
      <c r="H143" s="231"/>
      <c r="I143" s="231"/>
      <c r="J143" s="231"/>
    </row>
    <row r="144" spans="5:10" s="229" customFormat="1" x14ac:dyDescent="0.25">
      <c r="E144" s="230"/>
      <c r="F144" s="230"/>
      <c r="H144" s="231"/>
      <c r="I144" s="231"/>
      <c r="J144" s="231"/>
    </row>
    <row r="145" spans="5:10" s="229" customFormat="1" x14ac:dyDescent="0.25">
      <c r="E145" s="230"/>
      <c r="F145" s="230"/>
      <c r="H145" s="231"/>
      <c r="I145" s="231"/>
      <c r="J145" s="231"/>
    </row>
    <row r="146" spans="5:10" s="229" customFormat="1" x14ac:dyDescent="0.25">
      <c r="E146" s="230"/>
      <c r="F146" s="230"/>
      <c r="H146" s="231"/>
      <c r="I146" s="231"/>
      <c r="J146" s="231"/>
    </row>
    <row r="147" spans="5:10" s="229" customFormat="1" x14ac:dyDescent="0.25">
      <c r="E147" s="230"/>
      <c r="F147" s="230"/>
      <c r="H147" s="231"/>
      <c r="I147" s="231"/>
      <c r="J147" s="231"/>
    </row>
    <row r="148" spans="5:10" s="229" customFormat="1" x14ac:dyDescent="0.25">
      <c r="E148" s="230"/>
      <c r="F148" s="230"/>
      <c r="H148" s="231"/>
      <c r="I148" s="231"/>
      <c r="J148" s="231"/>
    </row>
    <row r="149" spans="5:10" s="229" customFormat="1" x14ac:dyDescent="0.25">
      <c r="E149" s="230"/>
      <c r="F149" s="230"/>
      <c r="H149" s="231"/>
      <c r="I149" s="231"/>
      <c r="J149" s="231"/>
    </row>
  </sheetData>
  <pageMargins left="0.511811024" right="0.511811024" top="0.78740157499999996" bottom="0.78740157499999996" header="0.31496062000000002" footer="0.31496062000000002"/>
  <pageSetup paperSize="9" scale="64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opLeftCell="A10" workbookViewId="0">
      <selection activeCell="L33" sqref="L33"/>
    </sheetView>
  </sheetViews>
  <sheetFormatPr defaultRowHeight="15" x14ac:dyDescent="0.25"/>
  <cols>
    <col min="2" max="2" width="60" bestFit="1" customWidth="1"/>
    <col min="3" max="3" width="10.7109375" bestFit="1" customWidth="1"/>
    <col min="5" max="5" width="15.85546875" bestFit="1" customWidth="1"/>
    <col min="6" max="6" width="9.5703125" bestFit="1" customWidth="1"/>
    <col min="7" max="7" width="13.7109375" bestFit="1" customWidth="1"/>
    <col min="8" max="8" width="29.140625" customWidth="1"/>
  </cols>
  <sheetData>
    <row r="1" spans="1:8" ht="15.75" x14ac:dyDescent="0.25">
      <c r="A1" s="30" t="s">
        <v>91</v>
      </c>
      <c r="B1" s="30" t="s">
        <v>92</v>
      </c>
      <c r="C1" s="97" t="s">
        <v>195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132">
        <v>1</v>
      </c>
      <c r="B2" s="132" t="s">
        <v>219</v>
      </c>
      <c r="C2" s="132" t="s">
        <v>234</v>
      </c>
      <c r="D2" s="132">
        <v>7</v>
      </c>
      <c r="E2" s="182">
        <v>14.18</v>
      </c>
      <c r="F2" s="133">
        <f>D2*E2</f>
        <v>99.259999999999991</v>
      </c>
      <c r="G2" s="133">
        <f>F2/12</f>
        <v>8.2716666666666665</v>
      </c>
      <c r="H2" s="132" t="s">
        <v>153</v>
      </c>
    </row>
    <row r="3" spans="1:8" x14ac:dyDescent="0.25">
      <c r="A3" s="132">
        <v>2</v>
      </c>
      <c r="B3" s="132" t="s">
        <v>220</v>
      </c>
      <c r="C3" s="132" t="s">
        <v>234</v>
      </c>
      <c r="D3" s="132">
        <v>6</v>
      </c>
      <c r="E3" s="182">
        <v>4.16</v>
      </c>
      <c r="F3" s="133">
        <f t="shared" ref="F3:F22" si="0">D3*E3</f>
        <v>24.96</v>
      </c>
      <c r="G3" s="133">
        <f t="shared" ref="G3:G22" si="1">F3/12</f>
        <v>2.08</v>
      </c>
      <c r="H3" s="132" t="s">
        <v>153</v>
      </c>
    </row>
    <row r="4" spans="1:8" x14ac:dyDescent="0.25">
      <c r="A4" s="132">
        <v>3</v>
      </c>
      <c r="B4" s="132" t="s">
        <v>221</v>
      </c>
      <c r="C4" s="132" t="s">
        <v>234</v>
      </c>
      <c r="D4" s="132">
        <v>1</v>
      </c>
      <c r="E4" s="182">
        <v>621.4</v>
      </c>
      <c r="F4" s="133">
        <f t="shared" si="0"/>
        <v>621.4</v>
      </c>
      <c r="G4" s="133">
        <f t="shared" si="1"/>
        <v>51.783333333333331</v>
      </c>
      <c r="H4" s="132" t="s">
        <v>153</v>
      </c>
    </row>
    <row r="5" spans="1:8" x14ac:dyDescent="0.25">
      <c r="A5" s="132">
        <v>4</v>
      </c>
      <c r="B5" s="132" t="s">
        <v>222</v>
      </c>
      <c r="C5" s="132" t="s">
        <v>234</v>
      </c>
      <c r="D5" s="132">
        <v>2</v>
      </c>
      <c r="E5" s="182">
        <v>32.450000000000003</v>
      </c>
      <c r="F5" s="133">
        <f t="shared" si="0"/>
        <v>64.900000000000006</v>
      </c>
      <c r="G5" s="133">
        <f t="shared" si="1"/>
        <v>5.4083333333333341</v>
      </c>
      <c r="H5" s="132" t="s">
        <v>153</v>
      </c>
    </row>
    <row r="6" spans="1:8" x14ac:dyDescent="0.25">
      <c r="A6" s="132">
        <v>5</v>
      </c>
      <c r="B6" s="132" t="s">
        <v>223</v>
      </c>
      <c r="C6" s="132" t="s">
        <v>234</v>
      </c>
      <c r="D6" s="132">
        <v>4</v>
      </c>
      <c r="E6" s="182">
        <v>7.87</v>
      </c>
      <c r="F6" s="133">
        <f t="shared" si="0"/>
        <v>31.48</v>
      </c>
      <c r="G6" s="133">
        <f t="shared" si="1"/>
        <v>2.6233333333333335</v>
      </c>
      <c r="H6" s="132" t="s">
        <v>153</v>
      </c>
    </row>
    <row r="7" spans="1:8" x14ac:dyDescent="0.25">
      <c r="A7" s="132">
        <v>6</v>
      </c>
      <c r="B7" s="132" t="s">
        <v>224</v>
      </c>
      <c r="C7" s="132" t="s">
        <v>234</v>
      </c>
      <c r="D7" s="132">
        <v>7</v>
      </c>
      <c r="E7" s="182">
        <v>5.07</v>
      </c>
      <c r="F7" s="133">
        <f t="shared" si="0"/>
        <v>35.49</v>
      </c>
      <c r="G7" s="133">
        <f t="shared" si="1"/>
        <v>2.9575</v>
      </c>
      <c r="H7" s="132" t="s">
        <v>153</v>
      </c>
    </row>
    <row r="8" spans="1:8" x14ac:dyDescent="0.25">
      <c r="A8" s="132">
        <v>7</v>
      </c>
      <c r="B8" s="132" t="s">
        <v>225</v>
      </c>
      <c r="C8" s="132" t="s">
        <v>234</v>
      </c>
      <c r="D8" s="132">
        <v>2</v>
      </c>
      <c r="E8" s="182">
        <v>85.98</v>
      </c>
      <c r="F8" s="133">
        <f t="shared" si="0"/>
        <v>171.96</v>
      </c>
      <c r="G8" s="133">
        <f t="shared" si="1"/>
        <v>14.33</v>
      </c>
      <c r="H8" s="132" t="s">
        <v>153</v>
      </c>
    </row>
    <row r="9" spans="1:8" x14ac:dyDescent="0.25">
      <c r="A9" s="132">
        <v>8</v>
      </c>
      <c r="B9" s="132" t="s">
        <v>226</v>
      </c>
      <c r="C9" s="132" t="s">
        <v>234</v>
      </c>
      <c r="D9" s="132">
        <v>2</v>
      </c>
      <c r="E9" s="182">
        <v>72.900000000000006</v>
      </c>
      <c r="F9" s="133">
        <f t="shared" si="0"/>
        <v>145.80000000000001</v>
      </c>
      <c r="G9" s="133">
        <f t="shared" si="1"/>
        <v>12.15</v>
      </c>
      <c r="H9" s="132" t="s">
        <v>153</v>
      </c>
    </row>
    <row r="10" spans="1:8" x14ac:dyDescent="0.25">
      <c r="A10" s="132">
        <v>9</v>
      </c>
      <c r="B10" s="132" t="s">
        <v>227</v>
      </c>
      <c r="C10" s="132" t="s">
        <v>234</v>
      </c>
      <c r="D10" s="132">
        <v>2</v>
      </c>
      <c r="E10" s="182">
        <v>62.48</v>
      </c>
      <c r="F10" s="133">
        <f t="shared" si="0"/>
        <v>124.96</v>
      </c>
      <c r="G10" s="133">
        <f t="shared" si="1"/>
        <v>10.413333333333332</v>
      </c>
      <c r="H10" s="132" t="s">
        <v>153</v>
      </c>
    </row>
    <row r="11" spans="1:8" x14ac:dyDescent="0.25">
      <c r="A11" s="132">
        <v>10</v>
      </c>
      <c r="B11" s="132" t="s">
        <v>322</v>
      </c>
      <c r="C11" s="132" t="s">
        <v>234</v>
      </c>
      <c r="D11" s="132">
        <v>8</v>
      </c>
      <c r="E11" s="182">
        <v>20.52</v>
      </c>
      <c r="F11" s="133">
        <f t="shared" si="0"/>
        <v>164.16</v>
      </c>
      <c r="G11" s="133">
        <f t="shared" si="1"/>
        <v>13.68</v>
      </c>
      <c r="H11" s="132" t="s">
        <v>153</v>
      </c>
    </row>
    <row r="12" spans="1:8" x14ac:dyDescent="0.25">
      <c r="A12" s="132">
        <v>11</v>
      </c>
      <c r="B12" s="132" t="s">
        <v>228</v>
      </c>
      <c r="C12" s="132" t="s">
        <v>234</v>
      </c>
      <c r="D12" s="132">
        <v>8</v>
      </c>
      <c r="E12" s="182">
        <v>26.12</v>
      </c>
      <c r="F12" s="133">
        <f t="shared" si="0"/>
        <v>208.96</v>
      </c>
      <c r="G12" s="133">
        <f t="shared" si="1"/>
        <v>17.413333333333334</v>
      </c>
      <c r="H12" s="132" t="s">
        <v>153</v>
      </c>
    </row>
    <row r="13" spans="1:8" x14ac:dyDescent="0.25">
      <c r="A13" s="132">
        <v>12</v>
      </c>
      <c r="B13" s="132" t="s">
        <v>229</v>
      </c>
      <c r="C13" s="132" t="s">
        <v>234</v>
      </c>
      <c r="D13" s="132">
        <v>7</v>
      </c>
      <c r="E13" s="182">
        <v>17.25</v>
      </c>
      <c r="F13" s="133">
        <f t="shared" si="0"/>
        <v>120.75</v>
      </c>
      <c r="G13" s="133">
        <f t="shared" si="1"/>
        <v>10.0625</v>
      </c>
      <c r="H13" s="132" t="s">
        <v>153</v>
      </c>
    </row>
    <row r="14" spans="1:8" x14ac:dyDescent="0.25">
      <c r="A14" s="132">
        <v>13</v>
      </c>
      <c r="B14" s="132" t="s">
        <v>230</v>
      </c>
      <c r="C14" s="132" t="s">
        <v>234</v>
      </c>
      <c r="D14" s="132">
        <v>7</v>
      </c>
      <c r="E14" s="182">
        <v>48.98</v>
      </c>
      <c r="F14" s="133">
        <f t="shared" si="0"/>
        <v>342.85999999999996</v>
      </c>
      <c r="G14" s="133">
        <f t="shared" si="1"/>
        <v>28.571666666666662</v>
      </c>
      <c r="H14" s="132" t="s">
        <v>153</v>
      </c>
    </row>
    <row r="15" spans="1:8" x14ac:dyDescent="0.25">
      <c r="A15" s="132">
        <v>14</v>
      </c>
      <c r="B15" s="132" t="s">
        <v>231</v>
      </c>
      <c r="C15" s="132" t="s">
        <v>234</v>
      </c>
      <c r="D15" s="132">
        <v>10</v>
      </c>
      <c r="E15" s="182">
        <v>12.36</v>
      </c>
      <c r="F15" s="133">
        <f t="shared" si="0"/>
        <v>123.6</v>
      </c>
      <c r="G15" s="133">
        <f t="shared" si="1"/>
        <v>10.299999999999999</v>
      </c>
      <c r="H15" s="132" t="s">
        <v>153</v>
      </c>
    </row>
    <row r="16" spans="1:8" x14ac:dyDescent="0.25">
      <c r="A16" s="132">
        <v>15</v>
      </c>
      <c r="B16" s="132" t="s">
        <v>232</v>
      </c>
      <c r="C16" s="132" t="s">
        <v>234</v>
      </c>
      <c r="D16" s="132">
        <v>10</v>
      </c>
      <c r="E16" s="182">
        <v>14.97</v>
      </c>
      <c r="F16" s="133">
        <f t="shared" si="0"/>
        <v>149.70000000000002</v>
      </c>
      <c r="G16" s="133">
        <f t="shared" si="1"/>
        <v>12.475000000000001</v>
      </c>
      <c r="H16" s="132" t="s">
        <v>153</v>
      </c>
    </row>
    <row r="17" spans="1:8" x14ac:dyDescent="0.25">
      <c r="A17" s="132">
        <v>16</v>
      </c>
      <c r="B17" s="132" t="s">
        <v>233</v>
      </c>
      <c r="C17" s="132" t="s">
        <v>234</v>
      </c>
      <c r="D17" s="132">
        <v>4</v>
      </c>
      <c r="E17" s="182">
        <v>22.39</v>
      </c>
      <c r="F17" s="133">
        <f t="shared" si="0"/>
        <v>89.56</v>
      </c>
      <c r="G17" s="133">
        <f t="shared" si="1"/>
        <v>7.4633333333333338</v>
      </c>
      <c r="H17" s="132" t="s">
        <v>153</v>
      </c>
    </row>
    <row r="18" spans="1:8" x14ac:dyDescent="0.25">
      <c r="A18" s="132">
        <v>17</v>
      </c>
      <c r="B18" s="132" t="s">
        <v>323</v>
      </c>
      <c r="C18" s="132" t="s">
        <v>234</v>
      </c>
      <c r="D18" s="132">
        <v>2</v>
      </c>
      <c r="E18" s="182">
        <v>261.67</v>
      </c>
      <c r="F18" s="133">
        <f t="shared" si="0"/>
        <v>523.34</v>
      </c>
      <c r="G18" s="133">
        <f t="shared" si="1"/>
        <v>43.611666666666672</v>
      </c>
      <c r="H18" s="132" t="s">
        <v>153</v>
      </c>
    </row>
    <row r="19" spans="1:8" x14ac:dyDescent="0.25">
      <c r="A19" s="132">
        <v>18</v>
      </c>
      <c r="B19" s="132" t="s">
        <v>324</v>
      </c>
      <c r="C19" s="132" t="s">
        <v>234</v>
      </c>
      <c r="D19" s="132">
        <v>2</v>
      </c>
      <c r="E19" s="182">
        <v>523.33000000000004</v>
      </c>
      <c r="F19" s="133">
        <f t="shared" si="0"/>
        <v>1046.6600000000001</v>
      </c>
      <c r="G19" s="133">
        <f t="shared" si="1"/>
        <v>87.221666666666678</v>
      </c>
      <c r="H19" s="132" t="s">
        <v>153</v>
      </c>
    </row>
    <row r="20" spans="1:8" x14ac:dyDescent="0.25">
      <c r="A20" s="132">
        <v>19</v>
      </c>
      <c r="B20" s="132" t="s">
        <v>325</v>
      </c>
      <c r="C20" s="132" t="s">
        <v>234</v>
      </c>
      <c r="D20" s="132">
        <v>2</v>
      </c>
      <c r="E20" s="182">
        <v>1.02</v>
      </c>
      <c r="F20" s="133">
        <f t="shared" si="0"/>
        <v>2.04</v>
      </c>
      <c r="G20" s="133">
        <f t="shared" si="1"/>
        <v>0.17</v>
      </c>
      <c r="H20" s="132" t="s">
        <v>153</v>
      </c>
    </row>
    <row r="21" spans="1:8" x14ac:dyDescent="0.25">
      <c r="A21" s="132">
        <v>20</v>
      </c>
      <c r="B21" s="132" t="s">
        <v>326</v>
      </c>
      <c r="C21" s="132" t="s">
        <v>234</v>
      </c>
      <c r="D21" s="132">
        <v>2</v>
      </c>
      <c r="E21" s="182">
        <v>3</v>
      </c>
      <c r="F21" s="133">
        <f t="shared" si="0"/>
        <v>6</v>
      </c>
      <c r="G21" s="133">
        <f t="shared" si="1"/>
        <v>0.5</v>
      </c>
      <c r="H21" s="132" t="s">
        <v>153</v>
      </c>
    </row>
    <row r="22" spans="1:8" x14ac:dyDescent="0.25">
      <c r="A22" s="132">
        <v>21</v>
      </c>
      <c r="B22" s="132" t="s">
        <v>327</v>
      </c>
      <c r="C22" s="132" t="s">
        <v>234</v>
      </c>
      <c r="D22" s="132">
        <v>1</v>
      </c>
      <c r="E22" s="182">
        <v>264.39</v>
      </c>
      <c r="F22" s="133">
        <f t="shared" si="0"/>
        <v>264.39</v>
      </c>
      <c r="G22" s="133">
        <f t="shared" si="1"/>
        <v>22.032499999999999</v>
      </c>
      <c r="H22" s="132" t="s">
        <v>153</v>
      </c>
    </row>
    <row r="23" spans="1:8" x14ac:dyDescent="0.25">
      <c r="A23" s="132">
        <v>22</v>
      </c>
      <c r="B23" s="132" t="s">
        <v>219</v>
      </c>
      <c r="C23" s="132" t="s">
        <v>234</v>
      </c>
      <c r="D23" s="132">
        <v>7</v>
      </c>
      <c r="E23" s="182">
        <v>14.18</v>
      </c>
      <c r="F23" s="133">
        <f>D23*E23</f>
        <v>99.259999999999991</v>
      </c>
      <c r="G23" s="133">
        <f>F23/12</f>
        <v>8.2716666666666665</v>
      </c>
      <c r="H23" s="132" t="s">
        <v>213</v>
      </c>
    </row>
    <row r="24" spans="1:8" x14ac:dyDescent="0.25">
      <c r="A24" s="132">
        <v>23</v>
      </c>
      <c r="B24" s="132" t="s">
        <v>220</v>
      </c>
      <c r="C24" s="132" t="s">
        <v>234</v>
      </c>
      <c r="D24" s="132">
        <v>6</v>
      </c>
      <c r="E24" s="182">
        <v>4.16</v>
      </c>
      <c r="F24" s="133">
        <f t="shared" ref="F24:F43" si="2">D24*E24</f>
        <v>24.96</v>
      </c>
      <c r="G24" s="133">
        <f t="shared" ref="G24:G43" si="3">F24/12</f>
        <v>2.08</v>
      </c>
      <c r="H24" s="132" t="s">
        <v>213</v>
      </c>
    </row>
    <row r="25" spans="1:8" x14ac:dyDescent="0.25">
      <c r="A25" s="132">
        <v>24</v>
      </c>
      <c r="B25" s="132" t="s">
        <v>221</v>
      </c>
      <c r="C25" s="132" t="s">
        <v>234</v>
      </c>
      <c r="D25" s="132">
        <v>1</v>
      </c>
      <c r="E25" s="182">
        <v>621.4</v>
      </c>
      <c r="F25" s="133">
        <f t="shared" si="2"/>
        <v>621.4</v>
      </c>
      <c r="G25" s="133">
        <f t="shared" si="3"/>
        <v>51.783333333333331</v>
      </c>
      <c r="H25" s="132" t="s">
        <v>213</v>
      </c>
    </row>
    <row r="26" spans="1:8" x14ac:dyDescent="0.25">
      <c r="A26" s="132">
        <v>25</v>
      </c>
      <c r="B26" s="132" t="s">
        <v>222</v>
      </c>
      <c r="C26" s="132" t="s">
        <v>234</v>
      </c>
      <c r="D26" s="132">
        <v>2</v>
      </c>
      <c r="E26" s="182">
        <v>32.450000000000003</v>
      </c>
      <c r="F26" s="133">
        <f t="shared" si="2"/>
        <v>64.900000000000006</v>
      </c>
      <c r="G26" s="133">
        <f t="shared" si="3"/>
        <v>5.4083333333333341</v>
      </c>
      <c r="H26" s="132" t="s">
        <v>213</v>
      </c>
    </row>
    <row r="27" spans="1:8" x14ac:dyDescent="0.25">
      <c r="A27" s="132">
        <v>26</v>
      </c>
      <c r="B27" s="132" t="s">
        <v>223</v>
      </c>
      <c r="C27" s="132" t="s">
        <v>234</v>
      </c>
      <c r="D27" s="132">
        <v>4</v>
      </c>
      <c r="E27" s="182">
        <v>7.87</v>
      </c>
      <c r="F27" s="133">
        <f t="shared" si="2"/>
        <v>31.48</v>
      </c>
      <c r="G27" s="133">
        <f t="shared" si="3"/>
        <v>2.6233333333333335</v>
      </c>
      <c r="H27" s="132" t="s">
        <v>213</v>
      </c>
    </row>
    <row r="28" spans="1:8" x14ac:dyDescent="0.25">
      <c r="A28" s="132">
        <v>27</v>
      </c>
      <c r="B28" s="132" t="s">
        <v>224</v>
      </c>
      <c r="C28" s="132" t="s">
        <v>234</v>
      </c>
      <c r="D28" s="132">
        <v>7</v>
      </c>
      <c r="E28" s="182">
        <v>5.07</v>
      </c>
      <c r="F28" s="133">
        <f t="shared" si="2"/>
        <v>35.49</v>
      </c>
      <c r="G28" s="133">
        <f t="shared" si="3"/>
        <v>2.9575</v>
      </c>
      <c r="H28" s="132" t="s">
        <v>213</v>
      </c>
    </row>
    <row r="29" spans="1:8" x14ac:dyDescent="0.25">
      <c r="A29" s="132">
        <v>28</v>
      </c>
      <c r="B29" s="132" t="s">
        <v>225</v>
      </c>
      <c r="C29" s="132" t="s">
        <v>234</v>
      </c>
      <c r="D29" s="132">
        <v>2</v>
      </c>
      <c r="E29" s="182">
        <v>85.98</v>
      </c>
      <c r="F29" s="133">
        <f t="shared" si="2"/>
        <v>171.96</v>
      </c>
      <c r="G29" s="133">
        <f t="shared" si="3"/>
        <v>14.33</v>
      </c>
      <c r="H29" s="132" t="s">
        <v>213</v>
      </c>
    </row>
    <row r="30" spans="1:8" x14ac:dyDescent="0.25">
      <c r="A30" s="132">
        <v>29</v>
      </c>
      <c r="B30" s="132" t="s">
        <v>226</v>
      </c>
      <c r="C30" s="132" t="s">
        <v>234</v>
      </c>
      <c r="D30" s="132">
        <v>2</v>
      </c>
      <c r="E30" s="182">
        <v>72.900000000000006</v>
      </c>
      <c r="F30" s="133">
        <f t="shared" si="2"/>
        <v>145.80000000000001</v>
      </c>
      <c r="G30" s="133">
        <f t="shared" si="3"/>
        <v>12.15</v>
      </c>
      <c r="H30" s="132" t="s">
        <v>213</v>
      </c>
    </row>
    <row r="31" spans="1:8" x14ac:dyDescent="0.25">
      <c r="A31" s="132">
        <v>30</v>
      </c>
      <c r="B31" s="132" t="s">
        <v>227</v>
      </c>
      <c r="C31" s="132" t="s">
        <v>234</v>
      </c>
      <c r="D31" s="132">
        <v>2</v>
      </c>
      <c r="E31" s="182">
        <v>62.48</v>
      </c>
      <c r="F31" s="133">
        <f t="shared" si="2"/>
        <v>124.96</v>
      </c>
      <c r="G31" s="133">
        <f t="shared" si="3"/>
        <v>10.413333333333332</v>
      </c>
      <c r="H31" s="132" t="s">
        <v>213</v>
      </c>
    </row>
    <row r="32" spans="1:8" x14ac:dyDescent="0.25">
      <c r="A32" s="132">
        <v>31</v>
      </c>
      <c r="B32" s="132" t="s">
        <v>322</v>
      </c>
      <c r="C32" s="132" t="s">
        <v>234</v>
      </c>
      <c r="D32" s="132">
        <v>8</v>
      </c>
      <c r="E32" s="182">
        <v>20.52</v>
      </c>
      <c r="F32" s="133">
        <f t="shared" si="2"/>
        <v>164.16</v>
      </c>
      <c r="G32" s="133">
        <f t="shared" si="3"/>
        <v>13.68</v>
      </c>
      <c r="H32" s="132" t="s">
        <v>213</v>
      </c>
    </row>
    <row r="33" spans="1:8" x14ac:dyDescent="0.25">
      <c r="A33" s="132">
        <v>32</v>
      </c>
      <c r="B33" s="132" t="s">
        <v>228</v>
      </c>
      <c r="C33" s="132" t="s">
        <v>234</v>
      </c>
      <c r="D33" s="132">
        <v>8</v>
      </c>
      <c r="E33" s="182">
        <v>26.12</v>
      </c>
      <c r="F33" s="133">
        <f t="shared" si="2"/>
        <v>208.96</v>
      </c>
      <c r="G33" s="133">
        <f t="shared" si="3"/>
        <v>17.413333333333334</v>
      </c>
      <c r="H33" s="132" t="s">
        <v>213</v>
      </c>
    </row>
    <row r="34" spans="1:8" x14ac:dyDescent="0.25">
      <c r="A34" s="132">
        <v>33</v>
      </c>
      <c r="B34" s="132" t="s">
        <v>229</v>
      </c>
      <c r="C34" s="132" t="s">
        <v>234</v>
      </c>
      <c r="D34" s="132">
        <v>7</v>
      </c>
      <c r="E34" s="182">
        <v>17.25</v>
      </c>
      <c r="F34" s="133">
        <f t="shared" si="2"/>
        <v>120.75</v>
      </c>
      <c r="G34" s="133">
        <f t="shared" si="3"/>
        <v>10.0625</v>
      </c>
      <c r="H34" s="132" t="s">
        <v>213</v>
      </c>
    </row>
    <row r="35" spans="1:8" x14ac:dyDescent="0.25">
      <c r="A35" s="132">
        <v>34</v>
      </c>
      <c r="B35" s="132" t="s">
        <v>230</v>
      </c>
      <c r="C35" s="132" t="s">
        <v>234</v>
      </c>
      <c r="D35" s="132">
        <v>7</v>
      </c>
      <c r="E35" s="182">
        <v>48.98</v>
      </c>
      <c r="F35" s="133">
        <f t="shared" si="2"/>
        <v>342.85999999999996</v>
      </c>
      <c r="G35" s="133">
        <f t="shared" si="3"/>
        <v>28.571666666666662</v>
      </c>
      <c r="H35" s="132" t="s">
        <v>213</v>
      </c>
    </row>
    <row r="36" spans="1:8" x14ac:dyDescent="0.25">
      <c r="A36" s="132">
        <v>35</v>
      </c>
      <c r="B36" s="132" t="s">
        <v>231</v>
      </c>
      <c r="C36" s="132" t="s">
        <v>234</v>
      </c>
      <c r="D36" s="132">
        <v>10</v>
      </c>
      <c r="E36" s="182">
        <v>12.36</v>
      </c>
      <c r="F36" s="133">
        <f t="shared" si="2"/>
        <v>123.6</v>
      </c>
      <c r="G36" s="133">
        <f t="shared" si="3"/>
        <v>10.299999999999999</v>
      </c>
      <c r="H36" s="132" t="s">
        <v>213</v>
      </c>
    </row>
    <row r="37" spans="1:8" x14ac:dyDescent="0.25">
      <c r="A37" s="132">
        <v>36</v>
      </c>
      <c r="B37" s="132" t="s">
        <v>232</v>
      </c>
      <c r="C37" s="132" t="s">
        <v>234</v>
      </c>
      <c r="D37" s="132">
        <v>10</v>
      </c>
      <c r="E37" s="182">
        <v>14.97</v>
      </c>
      <c r="F37" s="133">
        <f t="shared" si="2"/>
        <v>149.70000000000002</v>
      </c>
      <c r="G37" s="133">
        <f t="shared" si="3"/>
        <v>12.475000000000001</v>
      </c>
      <c r="H37" s="132" t="s">
        <v>213</v>
      </c>
    </row>
    <row r="38" spans="1:8" x14ac:dyDescent="0.25">
      <c r="A38" s="132">
        <v>37</v>
      </c>
      <c r="B38" s="132" t="s">
        <v>233</v>
      </c>
      <c r="C38" s="132" t="s">
        <v>234</v>
      </c>
      <c r="D38" s="132">
        <v>4</v>
      </c>
      <c r="E38" s="182">
        <v>22.39</v>
      </c>
      <c r="F38" s="133">
        <f t="shared" si="2"/>
        <v>89.56</v>
      </c>
      <c r="G38" s="133">
        <f t="shared" si="3"/>
        <v>7.4633333333333338</v>
      </c>
      <c r="H38" s="132" t="s">
        <v>213</v>
      </c>
    </row>
    <row r="39" spans="1:8" x14ac:dyDescent="0.25">
      <c r="A39" s="132">
        <v>38</v>
      </c>
      <c r="B39" s="132" t="s">
        <v>323</v>
      </c>
      <c r="C39" s="132" t="s">
        <v>234</v>
      </c>
      <c r="D39" s="132">
        <v>2</v>
      </c>
      <c r="E39" s="182">
        <v>261.67</v>
      </c>
      <c r="F39" s="133">
        <f t="shared" si="2"/>
        <v>523.34</v>
      </c>
      <c r="G39" s="133">
        <f t="shared" si="3"/>
        <v>43.611666666666672</v>
      </c>
      <c r="H39" s="132" t="s">
        <v>213</v>
      </c>
    </row>
    <row r="40" spans="1:8" x14ac:dyDescent="0.25">
      <c r="A40" s="132">
        <v>39</v>
      </c>
      <c r="B40" s="132" t="s">
        <v>324</v>
      </c>
      <c r="C40" s="132" t="s">
        <v>234</v>
      </c>
      <c r="D40" s="132">
        <v>2</v>
      </c>
      <c r="E40" s="182">
        <v>523.33000000000004</v>
      </c>
      <c r="F40" s="133">
        <f t="shared" si="2"/>
        <v>1046.6600000000001</v>
      </c>
      <c r="G40" s="133">
        <f t="shared" si="3"/>
        <v>87.221666666666678</v>
      </c>
      <c r="H40" s="132" t="s">
        <v>213</v>
      </c>
    </row>
    <row r="41" spans="1:8" x14ac:dyDescent="0.25">
      <c r="A41" s="132">
        <v>40</v>
      </c>
      <c r="B41" s="132" t="s">
        <v>325</v>
      </c>
      <c r="C41" s="132" t="s">
        <v>234</v>
      </c>
      <c r="D41" s="132">
        <v>2</v>
      </c>
      <c r="E41" s="182">
        <v>1.02</v>
      </c>
      <c r="F41" s="133">
        <f t="shared" si="2"/>
        <v>2.04</v>
      </c>
      <c r="G41" s="133">
        <f t="shared" si="3"/>
        <v>0.17</v>
      </c>
      <c r="H41" s="132" t="s">
        <v>213</v>
      </c>
    </row>
    <row r="42" spans="1:8" x14ac:dyDescent="0.25">
      <c r="A42" s="132">
        <v>41</v>
      </c>
      <c r="B42" s="132" t="s">
        <v>326</v>
      </c>
      <c r="C42" s="132" t="s">
        <v>234</v>
      </c>
      <c r="D42" s="132">
        <v>2</v>
      </c>
      <c r="E42" s="182">
        <v>3</v>
      </c>
      <c r="F42" s="133">
        <f t="shared" si="2"/>
        <v>6</v>
      </c>
      <c r="G42" s="133">
        <f t="shared" si="3"/>
        <v>0.5</v>
      </c>
      <c r="H42" s="132" t="s">
        <v>213</v>
      </c>
    </row>
    <row r="43" spans="1:8" x14ac:dyDescent="0.25">
      <c r="A43" s="132">
        <v>42</v>
      </c>
      <c r="B43" s="132" t="s">
        <v>327</v>
      </c>
      <c r="C43" s="132" t="s">
        <v>234</v>
      </c>
      <c r="D43" s="132">
        <v>1</v>
      </c>
      <c r="E43" s="182">
        <v>264.39</v>
      </c>
      <c r="F43" s="133">
        <f t="shared" si="2"/>
        <v>264.39</v>
      </c>
      <c r="G43" s="133">
        <f t="shared" si="3"/>
        <v>22.032499999999999</v>
      </c>
      <c r="H43" s="132" t="s">
        <v>213</v>
      </c>
    </row>
  </sheetData>
  <pageMargins left="0.511811024" right="0.511811024" top="0.78740157499999996" bottom="0.78740157499999996" header="0.31496062000000002" footer="0.31496062000000002"/>
  <pageSetup paperSize="9" scale="86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1"/>
  <sheetViews>
    <sheetView topLeftCell="A73" workbookViewId="0">
      <selection activeCell="I48" sqref="I48"/>
    </sheetView>
  </sheetViews>
  <sheetFormatPr defaultRowHeight="15.75" x14ac:dyDescent="0.25"/>
  <cols>
    <col min="1" max="1" width="5.42578125" bestFit="1" customWidth="1"/>
    <col min="2" max="2" width="42.85546875" customWidth="1"/>
    <col min="3" max="4" width="10.5703125" customWidth="1"/>
    <col min="5" max="5" width="11.85546875" bestFit="1" customWidth="1"/>
    <col min="6" max="6" width="15.7109375" bestFit="1" customWidth="1"/>
    <col min="7" max="7" width="11.85546875" bestFit="1" customWidth="1"/>
    <col min="8" max="8" width="13.7109375" bestFit="1" customWidth="1"/>
    <col min="9" max="9" width="36.28515625" style="1" bestFit="1" customWidth="1"/>
  </cols>
  <sheetData>
    <row r="1" spans="1:9" ht="47.25" x14ac:dyDescent="0.25">
      <c r="A1" s="30" t="s">
        <v>91</v>
      </c>
      <c r="B1" s="30" t="s">
        <v>92</v>
      </c>
      <c r="C1" s="97" t="s">
        <v>195</v>
      </c>
      <c r="D1" s="98" t="s">
        <v>196</v>
      </c>
      <c r="E1" s="30" t="s">
        <v>93</v>
      </c>
      <c r="F1" s="31" t="s">
        <v>94</v>
      </c>
      <c r="G1" s="30" t="s">
        <v>95</v>
      </c>
      <c r="H1" s="30" t="s">
        <v>96</v>
      </c>
      <c r="I1" s="30" t="s">
        <v>156</v>
      </c>
    </row>
    <row r="2" spans="1:9" x14ac:dyDescent="0.25">
      <c r="A2" s="25">
        <v>1</v>
      </c>
      <c r="B2" s="184" t="s">
        <v>235</v>
      </c>
      <c r="C2" s="25" t="s">
        <v>234</v>
      </c>
      <c r="D2" s="25">
        <v>4</v>
      </c>
      <c r="E2" s="25">
        <f>D2*12</f>
        <v>48</v>
      </c>
      <c r="F2" s="176">
        <v>12.4</v>
      </c>
      <c r="G2" s="27">
        <f>F2*E2</f>
        <v>595.20000000000005</v>
      </c>
      <c r="H2" s="27">
        <f>F2*D2</f>
        <v>49.6</v>
      </c>
      <c r="I2" s="132" t="s">
        <v>153</v>
      </c>
    </row>
    <row r="3" spans="1:9" ht="47.25" x14ac:dyDescent="0.25">
      <c r="A3" s="25">
        <v>2</v>
      </c>
      <c r="B3" s="184" t="s">
        <v>328</v>
      </c>
      <c r="C3" s="25" t="s">
        <v>234</v>
      </c>
      <c r="D3" s="25">
        <v>1</v>
      </c>
      <c r="E3" s="25">
        <f t="shared" ref="E3:E40" si="0">D3*12</f>
        <v>12</v>
      </c>
      <c r="F3" s="176">
        <v>11.99</v>
      </c>
      <c r="G3" s="27">
        <f t="shared" ref="G3:G40" si="1">F3*E3</f>
        <v>143.88</v>
      </c>
      <c r="H3" s="27">
        <f t="shared" ref="H3:H40" si="2">F3*D3</f>
        <v>11.99</v>
      </c>
      <c r="I3" s="132" t="s">
        <v>153</v>
      </c>
    </row>
    <row r="4" spans="1:9" ht="31.5" x14ac:dyDescent="0.25">
      <c r="A4" s="25">
        <v>3</v>
      </c>
      <c r="B4" s="184" t="s">
        <v>236</v>
      </c>
      <c r="C4" s="25" t="s">
        <v>234</v>
      </c>
      <c r="D4" s="25">
        <v>1</v>
      </c>
      <c r="E4" s="25">
        <f t="shared" si="0"/>
        <v>12</v>
      </c>
      <c r="F4" s="176">
        <v>70.209999999999994</v>
      </c>
      <c r="G4" s="27">
        <f t="shared" si="1"/>
        <v>842.52</v>
      </c>
      <c r="H4" s="27">
        <f t="shared" si="2"/>
        <v>70.209999999999994</v>
      </c>
      <c r="I4" s="132" t="s">
        <v>153</v>
      </c>
    </row>
    <row r="5" spans="1:9" x14ac:dyDescent="0.25">
      <c r="A5" s="25">
        <v>4</v>
      </c>
      <c r="B5" s="184" t="s">
        <v>329</v>
      </c>
      <c r="C5" s="25" t="s">
        <v>234</v>
      </c>
      <c r="D5" s="25">
        <v>4</v>
      </c>
      <c r="E5" s="25">
        <f t="shared" si="0"/>
        <v>48</v>
      </c>
      <c r="F5" s="176">
        <v>12.93</v>
      </c>
      <c r="G5" s="27">
        <f t="shared" si="1"/>
        <v>620.64</v>
      </c>
      <c r="H5" s="27">
        <f t="shared" si="2"/>
        <v>51.72</v>
      </c>
      <c r="I5" s="132" t="s">
        <v>153</v>
      </c>
    </row>
    <row r="6" spans="1:9" x14ac:dyDescent="0.25">
      <c r="A6" s="25">
        <v>5</v>
      </c>
      <c r="B6" s="184" t="s">
        <v>237</v>
      </c>
      <c r="C6" s="25" t="s">
        <v>234</v>
      </c>
      <c r="D6" s="25">
        <v>4</v>
      </c>
      <c r="E6" s="25">
        <f t="shared" si="0"/>
        <v>48</v>
      </c>
      <c r="F6" s="176">
        <v>9.56</v>
      </c>
      <c r="G6" s="27">
        <f t="shared" si="1"/>
        <v>458.88</v>
      </c>
      <c r="H6" s="27">
        <f t="shared" si="2"/>
        <v>38.24</v>
      </c>
      <c r="I6" s="132" t="s">
        <v>153</v>
      </c>
    </row>
    <row r="7" spans="1:9" ht="31.5" x14ac:dyDescent="0.25">
      <c r="A7" s="25">
        <v>6</v>
      </c>
      <c r="B7" s="184" t="s">
        <v>330</v>
      </c>
      <c r="C7" s="25" t="s">
        <v>234</v>
      </c>
      <c r="D7" s="25">
        <v>2</v>
      </c>
      <c r="E7" s="25">
        <f t="shared" si="0"/>
        <v>24</v>
      </c>
      <c r="F7" s="176">
        <v>18.600000000000001</v>
      </c>
      <c r="G7" s="27">
        <f t="shared" si="1"/>
        <v>446.40000000000003</v>
      </c>
      <c r="H7" s="27">
        <f t="shared" si="2"/>
        <v>37.200000000000003</v>
      </c>
      <c r="I7" s="132" t="s">
        <v>153</v>
      </c>
    </row>
    <row r="8" spans="1:9" x14ac:dyDescent="0.25">
      <c r="A8" s="25">
        <v>7</v>
      </c>
      <c r="B8" s="184" t="s">
        <v>238</v>
      </c>
      <c r="C8" s="25" t="s">
        <v>234</v>
      </c>
      <c r="D8" s="25">
        <v>1</v>
      </c>
      <c r="E8" s="25">
        <f t="shared" si="0"/>
        <v>12</v>
      </c>
      <c r="F8" s="176">
        <v>52.94</v>
      </c>
      <c r="G8" s="27">
        <f t="shared" si="1"/>
        <v>635.28</v>
      </c>
      <c r="H8" s="27">
        <f t="shared" si="2"/>
        <v>52.94</v>
      </c>
      <c r="I8" s="132" t="s">
        <v>153</v>
      </c>
    </row>
    <row r="9" spans="1:9" ht="31.5" x14ac:dyDescent="0.25">
      <c r="A9" s="25">
        <v>8</v>
      </c>
      <c r="B9" s="184" t="s">
        <v>239</v>
      </c>
      <c r="C9" s="25" t="s">
        <v>234</v>
      </c>
      <c r="D9" s="25">
        <v>10</v>
      </c>
      <c r="E9" s="25">
        <f t="shared" si="0"/>
        <v>120</v>
      </c>
      <c r="F9" s="176">
        <v>4.8</v>
      </c>
      <c r="G9" s="27">
        <f t="shared" si="1"/>
        <v>576</v>
      </c>
      <c r="H9" s="27">
        <f t="shared" si="2"/>
        <v>48</v>
      </c>
      <c r="I9" s="132" t="s">
        <v>153</v>
      </c>
    </row>
    <row r="10" spans="1:9" x14ac:dyDescent="0.25">
      <c r="A10" s="25">
        <v>9</v>
      </c>
      <c r="B10" s="184" t="s">
        <v>240</v>
      </c>
      <c r="C10" s="25" t="s">
        <v>261</v>
      </c>
      <c r="D10" s="25">
        <v>12</v>
      </c>
      <c r="E10" s="25">
        <f t="shared" si="0"/>
        <v>144</v>
      </c>
      <c r="F10" s="176">
        <v>1.95</v>
      </c>
      <c r="G10" s="27">
        <f t="shared" si="1"/>
        <v>280.8</v>
      </c>
      <c r="H10" s="27">
        <f t="shared" si="2"/>
        <v>23.4</v>
      </c>
      <c r="I10" s="132" t="s">
        <v>153</v>
      </c>
    </row>
    <row r="11" spans="1:9" x14ac:dyDescent="0.25">
      <c r="A11" s="25">
        <v>10</v>
      </c>
      <c r="B11" s="184" t="s">
        <v>241</v>
      </c>
      <c r="C11" s="25" t="s">
        <v>234</v>
      </c>
      <c r="D11" s="25">
        <v>1</v>
      </c>
      <c r="E11" s="25">
        <f t="shared" si="0"/>
        <v>12</v>
      </c>
      <c r="F11" s="176">
        <v>75.56</v>
      </c>
      <c r="G11" s="27">
        <f t="shared" si="1"/>
        <v>906.72</v>
      </c>
      <c r="H11" s="27">
        <f t="shared" si="2"/>
        <v>75.56</v>
      </c>
      <c r="I11" s="132" t="s">
        <v>153</v>
      </c>
    </row>
    <row r="12" spans="1:9" x14ac:dyDescent="0.25">
      <c r="A12" s="25">
        <v>11</v>
      </c>
      <c r="B12" s="184" t="s">
        <v>242</v>
      </c>
      <c r="C12" s="25" t="s">
        <v>234</v>
      </c>
      <c r="D12" s="25">
        <v>1</v>
      </c>
      <c r="E12" s="25">
        <f t="shared" si="0"/>
        <v>12</v>
      </c>
      <c r="F12" s="176">
        <v>18.68</v>
      </c>
      <c r="G12" s="27">
        <f t="shared" si="1"/>
        <v>224.16</v>
      </c>
      <c r="H12" s="27">
        <f t="shared" si="2"/>
        <v>18.68</v>
      </c>
      <c r="I12" s="132" t="s">
        <v>153</v>
      </c>
    </row>
    <row r="13" spans="1:9" x14ac:dyDescent="0.25">
      <c r="A13" s="25">
        <v>12</v>
      </c>
      <c r="B13" s="184" t="s">
        <v>243</v>
      </c>
      <c r="C13" s="25" t="s">
        <v>234</v>
      </c>
      <c r="D13" s="25">
        <v>1</v>
      </c>
      <c r="E13" s="25">
        <f t="shared" si="0"/>
        <v>12</v>
      </c>
      <c r="F13" s="176">
        <v>35.39</v>
      </c>
      <c r="G13" s="27">
        <f t="shared" si="1"/>
        <v>424.68</v>
      </c>
      <c r="H13" s="27">
        <f t="shared" si="2"/>
        <v>35.39</v>
      </c>
      <c r="I13" s="132" t="s">
        <v>153</v>
      </c>
    </row>
    <row r="14" spans="1:9" x14ac:dyDescent="0.25">
      <c r="A14" s="25">
        <v>13</v>
      </c>
      <c r="B14" s="184" t="s">
        <v>244</v>
      </c>
      <c r="C14" s="25" t="s">
        <v>234</v>
      </c>
      <c r="D14" s="25">
        <v>1</v>
      </c>
      <c r="E14" s="25">
        <f t="shared" si="0"/>
        <v>12</v>
      </c>
      <c r="F14" s="176">
        <v>21.33</v>
      </c>
      <c r="G14" s="27">
        <f t="shared" si="1"/>
        <v>255.95999999999998</v>
      </c>
      <c r="H14" s="27">
        <f t="shared" si="2"/>
        <v>21.33</v>
      </c>
      <c r="I14" s="132" t="s">
        <v>153</v>
      </c>
    </row>
    <row r="15" spans="1:9" x14ac:dyDescent="0.25">
      <c r="A15" s="25">
        <v>14</v>
      </c>
      <c r="B15" s="184" t="s">
        <v>245</v>
      </c>
      <c r="C15" s="25" t="s">
        <v>234</v>
      </c>
      <c r="D15" s="25">
        <v>22</v>
      </c>
      <c r="E15" s="25">
        <f t="shared" si="0"/>
        <v>264</v>
      </c>
      <c r="F15" s="176">
        <v>0.86</v>
      </c>
      <c r="G15" s="27">
        <f t="shared" si="1"/>
        <v>227.04</v>
      </c>
      <c r="H15" s="27">
        <f t="shared" si="2"/>
        <v>18.919999999999998</v>
      </c>
      <c r="I15" s="132" t="s">
        <v>153</v>
      </c>
    </row>
    <row r="16" spans="1:9" ht="31.5" x14ac:dyDescent="0.25">
      <c r="A16" s="25">
        <v>15</v>
      </c>
      <c r="B16" s="184" t="s">
        <v>331</v>
      </c>
      <c r="C16" s="25" t="s">
        <v>234</v>
      </c>
      <c r="D16" s="25">
        <v>2</v>
      </c>
      <c r="E16" s="25">
        <f t="shared" si="0"/>
        <v>24</v>
      </c>
      <c r="F16" s="176">
        <v>2.04</v>
      </c>
      <c r="G16" s="27">
        <f t="shared" si="1"/>
        <v>48.96</v>
      </c>
      <c r="H16" s="27">
        <f t="shared" si="2"/>
        <v>4.08</v>
      </c>
      <c r="I16" s="132" t="s">
        <v>153</v>
      </c>
    </row>
    <row r="17" spans="1:9" ht="31.5" x14ac:dyDescent="0.25">
      <c r="A17" s="25">
        <v>16</v>
      </c>
      <c r="B17" s="184" t="s">
        <v>246</v>
      </c>
      <c r="C17" s="25" t="s">
        <v>234</v>
      </c>
      <c r="D17" s="25">
        <v>14</v>
      </c>
      <c r="E17" s="25">
        <f t="shared" si="0"/>
        <v>168</v>
      </c>
      <c r="F17" s="176">
        <v>2.29</v>
      </c>
      <c r="G17" s="27">
        <f t="shared" si="1"/>
        <v>384.72</v>
      </c>
      <c r="H17" s="27">
        <f t="shared" si="2"/>
        <v>32.06</v>
      </c>
      <c r="I17" s="132" t="s">
        <v>153</v>
      </c>
    </row>
    <row r="18" spans="1:9" x14ac:dyDescent="0.25">
      <c r="A18" s="25">
        <v>17</v>
      </c>
      <c r="B18" s="184" t="s">
        <v>247</v>
      </c>
      <c r="C18" s="25" t="s">
        <v>234</v>
      </c>
      <c r="D18" s="25">
        <v>5</v>
      </c>
      <c r="E18" s="25">
        <f t="shared" si="0"/>
        <v>60</v>
      </c>
      <c r="F18" s="176">
        <v>27.89</v>
      </c>
      <c r="G18" s="27">
        <f t="shared" si="1"/>
        <v>1673.4</v>
      </c>
      <c r="H18" s="27">
        <f t="shared" si="2"/>
        <v>139.44999999999999</v>
      </c>
      <c r="I18" s="132" t="s">
        <v>153</v>
      </c>
    </row>
    <row r="19" spans="1:9" x14ac:dyDescent="0.25">
      <c r="A19" s="25">
        <v>18</v>
      </c>
      <c r="B19" s="184" t="s">
        <v>248</v>
      </c>
      <c r="C19" s="25" t="s">
        <v>262</v>
      </c>
      <c r="D19" s="25">
        <v>11</v>
      </c>
      <c r="E19" s="25">
        <f t="shared" si="0"/>
        <v>132</v>
      </c>
      <c r="F19" s="176">
        <v>1.8</v>
      </c>
      <c r="G19" s="27">
        <f t="shared" si="1"/>
        <v>237.6</v>
      </c>
      <c r="H19" s="27">
        <f t="shared" si="2"/>
        <v>19.8</v>
      </c>
      <c r="I19" s="132" t="s">
        <v>153</v>
      </c>
    </row>
    <row r="20" spans="1:9" x14ac:dyDescent="0.25">
      <c r="A20" s="25">
        <v>19</v>
      </c>
      <c r="B20" s="184" t="s">
        <v>249</v>
      </c>
      <c r="C20" s="25" t="s">
        <v>234</v>
      </c>
      <c r="D20" s="25">
        <v>6</v>
      </c>
      <c r="E20" s="25">
        <f t="shared" si="0"/>
        <v>72</v>
      </c>
      <c r="F20" s="176">
        <v>16.46</v>
      </c>
      <c r="G20" s="27">
        <f t="shared" si="1"/>
        <v>1185.1200000000001</v>
      </c>
      <c r="H20" s="27">
        <f t="shared" si="2"/>
        <v>98.76</v>
      </c>
      <c r="I20" s="132" t="s">
        <v>153</v>
      </c>
    </row>
    <row r="21" spans="1:9" x14ac:dyDescent="0.25">
      <c r="A21" s="25">
        <v>20</v>
      </c>
      <c r="B21" s="184" t="s">
        <v>250</v>
      </c>
      <c r="C21" s="25" t="s">
        <v>234</v>
      </c>
      <c r="D21" s="25">
        <v>4</v>
      </c>
      <c r="E21" s="25">
        <f t="shared" si="0"/>
        <v>48</v>
      </c>
      <c r="F21" s="176">
        <v>18.8</v>
      </c>
      <c r="G21" s="27">
        <f t="shared" si="1"/>
        <v>902.40000000000009</v>
      </c>
      <c r="H21" s="27">
        <f t="shared" si="2"/>
        <v>75.2</v>
      </c>
      <c r="I21" s="132" t="s">
        <v>153</v>
      </c>
    </row>
    <row r="22" spans="1:9" x14ac:dyDescent="0.25">
      <c r="A22" s="25">
        <v>21</v>
      </c>
      <c r="B22" s="184" t="s">
        <v>251</v>
      </c>
      <c r="C22" s="25" t="s">
        <v>234</v>
      </c>
      <c r="D22" s="25">
        <v>4</v>
      </c>
      <c r="E22" s="25">
        <f t="shared" si="0"/>
        <v>48</v>
      </c>
      <c r="F22" s="176">
        <v>7.01</v>
      </c>
      <c r="G22" s="27">
        <f t="shared" si="1"/>
        <v>336.48</v>
      </c>
      <c r="H22" s="27">
        <f t="shared" si="2"/>
        <v>28.04</v>
      </c>
      <c r="I22" s="132" t="s">
        <v>153</v>
      </c>
    </row>
    <row r="23" spans="1:9" x14ac:dyDescent="0.25">
      <c r="A23" s="25">
        <v>22</v>
      </c>
      <c r="B23" s="184" t="s">
        <v>252</v>
      </c>
      <c r="C23" s="25" t="s">
        <v>234</v>
      </c>
      <c r="D23" s="25">
        <v>10</v>
      </c>
      <c r="E23" s="25">
        <f t="shared" si="0"/>
        <v>120</v>
      </c>
      <c r="F23" s="176">
        <v>13.13</v>
      </c>
      <c r="G23" s="27">
        <f t="shared" si="1"/>
        <v>1575.6000000000001</v>
      </c>
      <c r="H23" s="27">
        <f t="shared" si="2"/>
        <v>131.30000000000001</v>
      </c>
      <c r="I23" s="132" t="s">
        <v>153</v>
      </c>
    </row>
    <row r="24" spans="1:9" x14ac:dyDescent="0.25">
      <c r="A24" s="25">
        <v>23</v>
      </c>
      <c r="B24" s="184" t="s">
        <v>332</v>
      </c>
      <c r="C24" s="25" t="s">
        <v>234</v>
      </c>
      <c r="D24" s="25">
        <v>10</v>
      </c>
      <c r="E24" s="25">
        <f t="shared" si="0"/>
        <v>120</v>
      </c>
      <c r="F24" s="176">
        <v>1.75</v>
      </c>
      <c r="G24" s="27">
        <f t="shared" si="1"/>
        <v>210</v>
      </c>
      <c r="H24" s="27">
        <f t="shared" si="2"/>
        <v>17.5</v>
      </c>
      <c r="I24" s="132" t="s">
        <v>153</v>
      </c>
    </row>
    <row r="25" spans="1:9" ht="31.5" x14ac:dyDescent="0.25">
      <c r="A25" s="25">
        <v>24</v>
      </c>
      <c r="B25" s="184" t="s">
        <v>253</v>
      </c>
      <c r="C25" s="25" t="s">
        <v>234</v>
      </c>
      <c r="D25" s="25">
        <v>15</v>
      </c>
      <c r="E25" s="25">
        <f t="shared" si="0"/>
        <v>180</v>
      </c>
      <c r="F25" s="176">
        <v>3.59</v>
      </c>
      <c r="G25" s="27">
        <f t="shared" si="1"/>
        <v>646.19999999999993</v>
      </c>
      <c r="H25" s="27">
        <f t="shared" si="2"/>
        <v>53.849999999999994</v>
      </c>
      <c r="I25" s="132" t="s">
        <v>153</v>
      </c>
    </row>
    <row r="26" spans="1:9" x14ac:dyDescent="0.25">
      <c r="A26" s="25">
        <v>25</v>
      </c>
      <c r="B26" s="184" t="s">
        <v>254</v>
      </c>
      <c r="C26" s="25" t="s">
        <v>234</v>
      </c>
      <c r="D26" s="25">
        <v>0</v>
      </c>
      <c r="E26" s="25">
        <f t="shared" si="0"/>
        <v>0</v>
      </c>
      <c r="F26" s="176">
        <v>3.97</v>
      </c>
      <c r="G26" s="27">
        <f t="shared" si="1"/>
        <v>0</v>
      </c>
      <c r="H26" s="27">
        <f t="shared" si="2"/>
        <v>0</v>
      </c>
      <c r="I26" s="132" t="s">
        <v>153</v>
      </c>
    </row>
    <row r="27" spans="1:9" ht="47.25" x14ac:dyDescent="0.25">
      <c r="A27" s="25">
        <v>26</v>
      </c>
      <c r="B27" s="184" t="s">
        <v>255</v>
      </c>
      <c r="C27" s="25" t="s">
        <v>263</v>
      </c>
      <c r="D27" s="25">
        <v>17</v>
      </c>
      <c r="E27" s="25">
        <f t="shared" si="0"/>
        <v>204</v>
      </c>
      <c r="F27" s="176">
        <v>62.28</v>
      </c>
      <c r="G27" s="27">
        <f t="shared" si="1"/>
        <v>12705.12</v>
      </c>
      <c r="H27" s="27">
        <f t="shared" si="2"/>
        <v>1058.76</v>
      </c>
      <c r="I27" s="132" t="s">
        <v>153</v>
      </c>
    </row>
    <row r="28" spans="1:9" ht="47.25" x14ac:dyDescent="0.25">
      <c r="A28" s="25">
        <v>27</v>
      </c>
      <c r="B28" s="184" t="s">
        <v>256</v>
      </c>
      <c r="C28" s="25" t="s">
        <v>263</v>
      </c>
      <c r="D28" s="25">
        <v>24</v>
      </c>
      <c r="E28" s="25">
        <f t="shared" si="0"/>
        <v>288</v>
      </c>
      <c r="F28" s="176">
        <v>72</v>
      </c>
      <c r="G28" s="27">
        <f t="shared" si="1"/>
        <v>20736</v>
      </c>
      <c r="H28" s="27">
        <f t="shared" si="2"/>
        <v>1728</v>
      </c>
      <c r="I28" s="132" t="s">
        <v>153</v>
      </c>
    </row>
    <row r="29" spans="1:9" x14ac:dyDescent="0.25">
      <c r="A29" s="25">
        <v>28</v>
      </c>
      <c r="B29" s="184" t="s">
        <v>257</v>
      </c>
      <c r="C29" s="25" t="s">
        <v>234</v>
      </c>
      <c r="D29" s="25">
        <v>0</v>
      </c>
      <c r="E29" s="25">
        <f t="shared" si="0"/>
        <v>0</v>
      </c>
      <c r="F29" s="176">
        <v>1.35</v>
      </c>
      <c r="G29" s="27">
        <f t="shared" si="1"/>
        <v>0</v>
      </c>
      <c r="H29" s="27">
        <f t="shared" si="2"/>
        <v>0</v>
      </c>
      <c r="I29" s="132" t="s">
        <v>153</v>
      </c>
    </row>
    <row r="30" spans="1:9" x14ac:dyDescent="0.25">
      <c r="A30" s="25">
        <v>29</v>
      </c>
      <c r="B30" s="184" t="s">
        <v>333</v>
      </c>
      <c r="C30" s="25" t="s">
        <v>234</v>
      </c>
      <c r="D30" s="25">
        <v>3</v>
      </c>
      <c r="E30" s="25">
        <f t="shared" si="0"/>
        <v>36</v>
      </c>
      <c r="F30" s="176">
        <v>11.14</v>
      </c>
      <c r="G30" s="27">
        <f t="shared" si="1"/>
        <v>401.04</v>
      </c>
      <c r="H30" s="27">
        <f t="shared" si="2"/>
        <v>33.42</v>
      </c>
      <c r="I30" s="132" t="s">
        <v>153</v>
      </c>
    </row>
    <row r="31" spans="1:9" x14ac:dyDescent="0.25">
      <c r="A31" s="25">
        <v>30</v>
      </c>
      <c r="B31" s="184" t="s">
        <v>258</v>
      </c>
      <c r="C31" s="25" t="s">
        <v>234</v>
      </c>
      <c r="D31" s="25">
        <v>1</v>
      </c>
      <c r="E31" s="25">
        <f t="shared" si="0"/>
        <v>12</v>
      </c>
      <c r="F31" s="176">
        <v>20.57</v>
      </c>
      <c r="G31" s="27">
        <f t="shared" si="1"/>
        <v>246.84</v>
      </c>
      <c r="H31" s="27">
        <f t="shared" si="2"/>
        <v>20.57</v>
      </c>
      <c r="I31" s="132" t="s">
        <v>153</v>
      </c>
    </row>
    <row r="32" spans="1:9" ht="31.5" x14ac:dyDescent="0.25">
      <c r="A32" s="25">
        <v>31</v>
      </c>
      <c r="B32" s="184" t="s">
        <v>334</v>
      </c>
      <c r="C32" s="25" t="s">
        <v>234</v>
      </c>
      <c r="D32" s="25">
        <v>7</v>
      </c>
      <c r="E32" s="25">
        <f t="shared" si="0"/>
        <v>84</v>
      </c>
      <c r="F32" s="176">
        <v>43</v>
      </c>
      <c r="G32" s="27">
        <f t="shared" si="1"/>
        <v>3612</v>
      </c>
      <c r="H32" s="27">
        <f t="shared" si="2"/>
        <v>301</v>
      </c>
      <c r="I32" s="132" t="s">
        <v>153</v>
      </c>
    </row>
    <row r="33" spans="1:9" s="135" customFormat="1" x14ac:dyDescent="0.25">
      <c r="A33" s="134">
        <v>32</v>
      </c>
      <c r="B33" s="185" t="s">
        <v>335</v>
      </c>
      <c r="C33" s="134" t="s">
        <v>234</v>
      </c>
      <c r="D33" s="134">
        <v>6</v>
      </c>
      <c r="E33" s="134">
        <f t="shared" si="0"/>
        <v>72</v>
      </c>
      <c r="F33" s="183">
        <v>23.6</v>
      </c>
      <c r="G33" s="27">
        <f t="shared" si="1"/>
        <v>1699.2</v>
      </c>
      <c r="H33" s="27">
        <f t="shared" si="2"/>
        <v>141.60000000000002</v>
      </c>
      <c r="I33" s="132" t="s">
        <v>153</v>
      </c>
    </row>
    <row r="34" spans="1:9" x14ac:dyDescent="0.25">
      <c r="A34" s="25">
        <v>33</v>
      </c>
      <c r="B34" s="184" t="s">
        <v>259</v>
      </c>
      <c r="C34" s="25" t="s">
        <v>234</v>
      </c>
      <c r="D34" s="25">
        <v>0</v>
      </c>
      <c r="E34" s="25">
        <f t="shared" si="0"/>
        <v>0</v>
      </c>
      <c r="F34" s="176">
        <v>3.85</v>
      </c>
      <c r="G34" s="27">
        <f t="shared" si="1"/>
        <v>0</v>
      </c>
      <c r="H34" s="27">
        <f t="shared" si="2"/>
        <v>0</v>
      </c>
      <c r="I34" s="132" t="s">
        <v>153</v>
      </c>
    </row>
    <row r="35" spans="1:9" ht="31.5" x14ac:dyDescent="0.25">
      <c r="A35" s="25">
        <v>34</v>
      </c>
      <c r="B35" s="184" t="s">
        <v>336</v>
      </c>
      <c r="C35" s="25" t="s">
        <v>263</v>
      </c>
      <c r="D35" s="25">
        <v>0</v>
      </c>
      <c r="E35" s="25">
        <f t="shared" si="0"/>
        <v>0</v>
      </c>
      <c r="F35" s="176">
        <v>9.8699999999999992</v>
      </c>
      <c r="G35" s="27">
        <f t="shared" si="1"/>
        <v>0</v>
      </c>
      <c r="H35" s="27">
        <f t="shared" si="2"/>
        <v>0</v>
      </c>
      <c r="I35" s="132" t="s">
        <v>153</v>
      </c>
    </row>
    <row r="36" spans="1:9" ht="31.5" x14ac:dyDescent="0.25">
      <c r="A36" s="25">
        <v>35</v>
      </c>
      <c r="B36" s="184" t="s">
        <v>337</v>
      </c>
      <c r="C36" s="25" t="s">
        <v>263</v>
      </c>
      <c r="D36" s="25">
        <v>2</v>
      </c>
      <c r="E36" s="25">
        <f t="shared" si="0"/>
        <v>24</v>
      </c>
      <c r="F36" s="176">
        <v>11.76</v>
      </c>
      <c r="G36" s="27">
        <f t="shared" si="1"/>
        <v>282.24</v>
      </c>
      <c r="H36" s="27">
        <f t="shared" si="2"/>
        <v>23.52</v>
      </c>
      <c r="I36" s="132" t="s">
        <v>153</v>
      </c>
    </row>
    <row r="37" spans="1:9" ht="31.5" x14ac:dyDescent="0.25">
      <c r="A37" s="25">
        <v>36</v>
      </c>
      <c r="B37" s="184" t="s">
        <v>338</v>
      </c>
      <c r="C37" s="25" t="s">
        <v>263</v>
      </c>
      <c r="D37" s="25">
        <v>8</v>
      </c>
      <c r="E37" s="25">
        <f t="shared" si="0"/>
        <v>96</v>
      </c>
      <c r="F37" s="176">
        <v>27.37</v>
      </c>
      <c r="G37" s="27">
        <f t="shared" si="1"/>
        <v>2627.52</v>
      </c>
      <c r="H37" s="27">
        <f t="shared" si="2"/>
        <v>218.96</v>
      </c>
      <c r="I37" s="132" t="s">
        <v>153</v>
      </c>
    </row>
    <row r="38" spans="1:9" ht="31.5" x14ac:dyDescent="0.25">
      <c r="A38" s="25">
        <v>37</v>
      </c>
      <c r="B38" s="184" t="s">
        <v>339</v>
      </c>
      <c r="C38" s="25" t="s">
        <v>263</v>
      </c>
      <c r="D38" s="25">
        <v>0</v>
      </c>
      <c r="E38" s="25">
        <f t="shared" si="0"/>
        <v>0</v>
      </c>
      <c r="F38" s="176">
        <v>62.87</v>
      </c>
      <c r="G38" s="27">
        <f t="shared" si="1"/>
        <v>0</v>
      </c>
      <c r="H38" s="27">
        <f t="shared" si="2"/>
        <v>0</v>
      </c>
      <c r="I38" s="132" t="s">
        <v>153</v>
      </c>
    </row>
    <row r="39" spans="1:9" ht="31.5" x14ac:dyDescent="0.25">
      <c r="A39" s="25">
        <v>38</v>
      </c>
      <c r="B39" s="184" t="s">
        <v>340</v>
      </c>
      <c r="C39" s="25" t="s">
        <v>263</v>
      </c>
      <c r="D39" s="25">
        <v>14</v>
      </c>
      <c r="E39" s="25">
        <f t="shared" si="0"/>
        <v>168</v>
      </c>
      <c r="F39" s="176">
        <v>89.98</v>
      </c>
      <c r="G39" s="27">
        <f t="shared" si="1"/>
        <v>15116.640000000001</v>
      </c>
      <c r="H39" s="27">
        <f t="shared" si="2"/>
        <v>1259.72</v>
      </c>
      <c r="I39" s="132" t="s">
        <v>153</v>
      </c>
    </row>
    <row r="40" spans="1:9" s="135" customFormat="1" x14ac:dyDescent="0.25">
      <c r="A40" s="134">
        <v>39</v>
      </c>
      <c r="B40" s="185" t="s">
        <v>260</v>
      </c>
      <c r="C40" s="134" t="s">
        <v>234</v>
      </c>
      <c r="D40" s="134">
        <v>0</v>
      </c>
      <c r="E40" s="134">
        <f t="shared" si="0"/>
        <v>0</v>
      </c>
      <c r="F40" s="183">
        <v>26.75</v>
      </c>
      <c r="G40" s="27">
        <f t="shared" si="1"/>
        <v>0</v>
      </c>
      <c r="H40" s="27">
        <f t="shared" si="2"/>
        <v>0</v>
      </c>
      <c r="I40" s="132" t="s">
        <v>153</v>
      </c>
    </row>
    <row r="41" spans="1:9" x14ac:dyDescent="0.25">
      <c r="A41" s="25">
        <v>40</v>
      </c>
      <c r="B41" s="184" t="s">
        <v>235</v>
      </c>
      <c r="C41" s="25" t="s">
        <v>234</v>
      </c>
      <c r="D41" s="25">
        <v>4</v>
      </c>
      <c r="E41" s="25">
        <f>D41*12</f>
        <v>48</v>
      </c>
      <c r="F41" s="176">
        <v>12.4</v>
      </c>
      <c r="G41" s="27">
        <f>F41*E41</f>
        <v>595.20000000000005</v>
      </c>
      <c r="H41" s="27">
        <f>F41*D41</f>
        <v>49.6</v>
      </c>
      <c r="I41" s="132" t="s">
        <v>304</v>
      </c>
    </row>
    <row r="42" spans="1:9" ht="47.25" x14ac:dyDescent="0.25">
      <c r="A42" s="25">
        <v>41</v>
      </c>
      <c r="B42" s="184" t="s">
        <v>328</v>
      </c>
      <c r="C42" s="25" t="s">
        <v>234</v>
      </c>
      <c r="D42" s="25">
        <v>1</v>
      </c>
      <c r="E42" s="25">
        <f t="shared" ref="E42:E79" si="3">D42*12</f>
        <v>12</v>
      </c>
      <c r="F42" s="176">
        <v>11.99</v>
      </c>
      <c r="G42" s="27">
        <f>F42*E42</f>
        <v>143.88</v>
      </c>
      <c r="H42" s="27">
        <f>F42*D42</f>
        <v>11.99</v>
      </c>
      <c r="I42" s="132" t="s">
        <v>304</v>
      </c>
    </row>
    <row r="43" spans="1:9" ht="31.5" x14ac:dyDescent="0.25">
      <c r="A43" s="134">
        <v>42</v>
      </c>
      <c r="B43" s="184" t="s">
        <v>236</v>
      </c>
      <c r="C43" s="25" t="s">
        <v>234</v>
      </c>
      <c r="D43" s="25">
        <v>1</v>
      </c>
      <c r="E43" s="25">
        <f t="shared" si="3"/>
        <v>12</v>
      </c>
      <c r="F43" s="176">
        <v>70.209999999999994</v>
      </c>
      <c r="G43" s="27">
        <f>F43*E43</f>
        <v>842.52</v>
      </c>
      <c r="H43" s="27">
        <f>F43*D43</f>
        <v>70.209999999999994</v>
      </c>
      <c r="I43" s="132" t="s">
        <v>304</v>
      </c>
    </row>
    <row r="44" spans="1:9" x14ac:dyDescent="0.25">
      <c r="A44" s="25">
        <v>43</v>
      </c>
      <c r="B44" s="184" t="s">
        <v>329</v>
      </c>
      <c r="C44" s="25" t="s">
        <v>234</v>
      </c>
      <c r="D44" s="25">
        <v>4</v>
      </c>
      <c r="E44" s="25">
        <f t="shared" si="3"/>
        <v>48</v>
      </c>
      <c r="F44" s="176">
        <v>12.93</v>
      </c>
      <c r="G44" s="27">
        <f t="shared" ref="G44:G79" si="4">F44*E44</f>
        <v>620.64</v>
      </c>
      <c r="H44" s="27">
        <f t="shared" ref="H44:H79" si="5">F44*D44</f>
        <v>51.72</v>
      </c>
      <c r="I44" s="132" t="s">
        <v>213</v>
      </c>
    </row>
    <row r="45" spans="1:9" x14ac:dyDescent="0.25">
      <c r="A45" s="25">
        <v>44</v>
      </c>
      <c r="B45" s="184" t="s">
        <v>237</v>
      </c>
      <c r="C45" s="25" t="s">
        <v>234</v>
      </c>
      <c r="D45" s="25">
        <v>4</v>
      </c>
      <c r="E45" s="25">
        <f t="shared" si="3"/>
        <v>48</v>
      </c>
      <c r="F45" s="176">
        <v>9.56</v>
      </c>
      <c r="G45" s="27">
        <f t="shared" si="4"/>
        <v>458.88</v>
      </c>
      <c r="H45" s="27">
        <f t="shared" si="5"/>
        <v>38.24</v>
      </c>
      <c r="I45" s="132" t="s">
        <v>213</v>
      </c>
    </row>
    <row r="46" spans="1:9" ht="31.5" x14ac:dyDescent="0.25">
      <c r="A46" s="134">
        <v>45</v>
      </c>
      <c r="B46" s="184" t="s">
        <v>330</v>
      </c>
      <c r="C46" s="25" t="s">
        <v>234</v>
      </c>
      <c r="D46" s="25">
        <v>2</v>
      </c>
      <c r="E46" s="25">
        <f t="shared" si="3"/>
        <v>24</v>
      </c>
      <c r="F46" s="176">
        <v>18.600000000000001</v>
      </c>
      <c r="G46" s="27">
        <f t="shared" si="4"/>
        <v>446.40000000000003</v>
      </c>
      <c r="H46" s="27">
        <f t="shared" si="5"/>
        <v>37.200000000000003</v>
      </c>
      <c r="I46" s="132" t="s">
        <v>213</v>
      </c>
    </row>
    <row r="47" spans="1:9" x14ac:dyDescent="0.25">
      <c r="A47" s="25">
        <v>46</v>
      </c>
      <c r="B47" s="184" t="s">
        <v>238</v>
      </c>
      <c r="C47" s="25" t="s">
        <v>234</v>
      </c>
      <c r="D47" s="25">
        <v>1</v>
      </c>
      <c r="E47" s="25">
        <f t="shared" si="3"/>
        <v>12</v>
      </c>
      <c r="F47" s="176">
        <v>52.94</v>
      </c>
      <c r="G47" s="27">
        <f t="shared" si="4"/>
        <v>635.28</v>
      </c>
      <c r="H47" s="27">
        <f t="shared" si="5"/>
        <v>52.94</v>
      </c>
      <c r="I47" s="132" t="s">
        <v>213</v>
      </c>
    </row>
    <row r="48" spans="1:9" ht="31.5" x14ac:dyDescent="0.25">
      <c r="A48" s="25">
        <v>47</v>
      </c>
      <c r="B48" s="184" t="s">
        <v>239</v>
      </c>
      <c r="C48" s="25" t="s">
        <v>234</v>
      </c>
      <c r="D48" s="25">
        <v>10</v>
      </c>
      <c r="E48" s="25">
        <f t="shared" si="3"/>
        <v>120</v>
      </c>
      <c r="F48" s="176">
        <v>4.8</v>
      </c>
      <c r="G48" s="27">
        <f t="shared" si="4"/>
        <v>576</v>
      </c>
      <c r="H48" s="27">
        <f t="shared" si="5"/>
        <v>48</v>
      </c>
      <c r="I48" s="132" t="s">
        <v>213</v>
      </c>
    </row>
    <row r="49" spans="1:9" x14ac:dyDescent="0.25">
      <c r="A49" s="134">
        <v>48</v>
      </c>
      <c r="B49" s="184" t="s">
        <v>240</v>
      </c>
      <c r="C49" s="25" t="s">
        <v>261</v>
      </c>
      <c r="D49" s="25">
        <v>12</v>
      </c>
      <c r="E49" s="25">
        <f t="shared" si="3"/>
        <v>144</v>
      </c>
      <c r="F49" s="176">
        <v>1.95</v>
      </c>
      <c r="G49" s="27">
        <f t="shared" si="4"/>
        <v>280.8</v>
      </c>
      <c r="H49" s="27">
        <f t="shared" si="5"/>
        <v>23.4</v>
      </c>
      <c r="I49" s="132" t="s">
        <v>213</v>
      </c>
    </row>
    <row r="50" spans="1:9" x14ac:dyDescent="0.25">
      <c r="A50" s="25">
        <v>49</v>
      </c>
      <c r="B50" s="184" t="s">
        <v>241</v>
      </c>
      <c r="C50" s="25" t="s">
        <v>234</v>
      </c>
      <c r="D50" s="25">
        <v>1</v>
      </c>
      <c r="E50" s="25">
        <f t="shared" si="3"/>
        <v>12</v>
      </c>
      <c r="F50" s="176">
        <v>75.56</v>
      </c>
      <c r="G50" s="27">
        <f t="shared" si="4"/>
        <v>906.72</v>
      </c>
      <c r="H50" s="27">
        <f t="shared" si="5"/>
        <v>75.56</v>
      </c>
      <c r="I50" s="132" t="s">
        <v>213</v>
      </c>
    </row>
    <row r="51" spans="1:9" x14ac:dyDescent="0.25">
      <c r="A51" s="25">
        <v>50</v>
      </c>
      <c r="B51" s="184" t="s">
        <v>242</v>
      </c>
      <c r="C51" s="25" t="s">
        <v>234</v>
      </c>
      <c r="D51" s="25">
        <v>1</v>
      </c>
      <c r="E51" s="25">
        <f t="shared" si="3"/>
        <v>12</v>
      </c>
      <c r="F51" s="176">
        <v>18.68</v>
      </c>
      <c r="G51" s="27">
        <f t="shared" si="4"/>
        <v>224.16</v>
      </c>
      <c r="H51" s="27">
        <f t="shared" si="5"/>
        <v>18.68</v>
      </c>
      <c r="I51" s="132" t="s">
        <v>213</v>
      </c>
    </row>
    <row r="52" spans="1:9" x14ac:dyDescent="0.25">
      <c r="A52" s="134">
        <v>51</v>
      </c>
      <c r="B52" s="184" t="s">
        <v>243</v>
      </c>
      <c r="C52" s="25" t="s">
        <v>234</v>
      </c>
      <c r="D52" s="25">
        <v>1</v>
      </c>
      <c r="E52" s="25">
        <f t="shared" si="3"/>
        <v>12</v>
      </c>
      <c r="F52" s="176">
        <v>35.39</v>
      </c>
      <c r="G52" s="27">
        <f t="shared" si="4"/>
        <v>424.68</v>
      </c>
      <c r="H52" s="27">
        <f t="shared" si="5"/>
        <v>35.39</v>
      </c>
      <c r="I52" s="132" t="s">
        <v>213</v>
      </c>
    </row>
    <row r="53" spans="1:9" x14ac:dyDescent="0.25">
      <c r="A53" s="25">
        <v>52</v>
      </c>
      <c r="B53" s="184" t="s">
        <v>244</v>
      </c>
      <c r="C53" s="25" t="s">
        <v>234</v>
      </c>
      <c r="D53" s="25">
        <v>1</v>
      </c>
      <c r="E53" s="25">
        <f t="shared" si="3"/>
        <v>12</v>
      </c>
      <c r="F53" s="176">
        <v>21.33</v>
      </c>
      <c r="G53" s="27">
        <f t="shared" si="4"/>
        <v>255.95999999999998</v>
      </c>
      <c r="H53" s="27">
        <f t="shared" si="5"/>
        <v>21.33</v>
      </c>
      <c r="I53" s="132" t="s">
        <v>213</v>
      </c>
    </row>
    <row r="54" spans="1:9" x14ac:dyDescent="0.25">
      <c r="A54" s="25">
        <v>53</v>
      </c>
      <c r="B54" s="184" t="s">
        <v>245</v>
      </c>
      <c r="C54" s="25" t="s">
        <v>234</v>
      </c>
      <c r="D54" s="25">
        <v>22</v>
      </c>
      <c r="E54" s="25">
        <f t="shared" si="3"/>
        <v>264</v>
      </c>
      <c r="F54" s="176">
        <v>0.86</v>
      </c>
      <c r="G54" s="27">
        <f t="shared" si="4"/>
        <v>227.04</v>
      </c>
      <c r="H54" s="27">
        <f t="shared" si="5"/>
        <v>18.919999999999998</v>
      </c>
      <c r="I54" s="132" t="s">
        <v>213</v>
      </c>
    </row>
    <row r="55" spans="1:9" ht="31.5" x14ac:dyDescent="0.25">
      <c r="A55" s="134">
        <v>54</v>
      </c>
      <c r="B55" s="184" t="s">
        <v>331</v>
      </c>
      <c r="C55" s="25" t="s">
        <v>234</v>
      </c>
      <c r="D55" s="25">
        <v>2</v>
      </c>
      <c r="E55" s="25">
        <f t="shared" si="3"/>
        <v>24</v>
      </c>
      <c r="F55" s="176">
        <v>2.04</v>
      </c>
      <c r="G55" s="27">
        <f t="shared" si="4"/>
        <v>48.96</v>
      </c>
      <c r="H55" s="27">
        <f t="shared" si="5"/>
        <v>4.08</v>
      </c>
      <c r="I55" s="132" t="s">
        <v>213</v>
      </c>
    </row>
    <row r="56" spans="1:9" ht="31.5" x14ac:dyDescent="0.25">
      <c r="A56" s="25">
        <v>55</v>
      </c>
      <c r="B56" s="184" t="s">
        <v>246</v>
      </c>
      <c r="C56" s="25" t="s">
        <v>234</v>
      </c>
      <c r="D56" s="25">
        <v>14</v>
      </c>
      <c r="E56" s="25">
        <f t="shared" si="3"/>
        <v>168</v>
      </c>
      <c r="F56" s="176">
        <v>2.29</v>
      </c>
      <c r="G56" s="27">
        <f t="shared" si="4"/>
        <v>384.72</v>
      </c>
      <c r="H56" s="27">
        <f t="shared" si="5"/>
        <v>32.06</v>
      </c>
      <c r="I56" s="132" t="s">
        <v>213</v>
      </c>
    </row>
    <row r="57" spans="1:9" x14ac:dyDescent="0.25">
      <c r="A57" s="25">
        <v>56</v>
      </c>
      <c r="B57" s="184" t="s">
        <v>247</v>
      </c>
      <c r="C57" s="25" t="s">
        <v>234</v>
      </c>
      <c r="D57" s="25">
        <v>5</v>
      </c>
      <c r="E57" s="25">
        <f t="shared" si="3"/>
        <v>60</v>
      </c>
      <c r="F57" s="176">
        <v>27.89</v>
      </c>
      <c r="G57" s="27">
        <f t="shared" si="4"/>
        <v>1673.4</v>
      </c>
      <c r="H57" s="27">
        <f t="shared" si="5"/>
        <v>139.44999999999999</v>
      </c>
      <c r="I57" s="132" t="s">
        <v>213</v>
      </c>
    </row>
    <row r="58" spans="1:9" x14ac:dyDescent="0.25">
      <c r="A58" s="134">
        <v>57</v>
      </c>
      <c r="B58" s="184" t="s">
        <v>248</v>
      </c>
      <c r="C58" s="25" t="s">
        <v>262</v>
      </c>
      <c r="D58" s="25">
        <v>11</v>
      </c>
      <c r="E58" s="25">
        <f t="shared" si="3"/>
        <v>132</v>
      </c>
      <c r="F58" s="176">
        <v>1.8</v>
      </c>
      <c r="G58" s="27">
        <f t="shared" si="4"/>
        <v>237.6</v>
      </c>
      <c r="H58" s="27">
        <f t="shared" si="5"/>
        <v>19.8</v>
      </c>
      <c r="I58" s="132" t="s">
        <v>213</v>
      </c>
    </row>
    <row r="59" spans="1:9" x14ac:dyDescent="0.25">
      <c r="A59" s="25">
        <v>58</v>
      </c>
      <c r="B59" s="184" t="s">
        <v>249</v>
      </c>
      <c r="C59" s="25" t="s">
        <v>234</v>
      </c>
      <c r="D59" s="25">
        <v>6</v>
      </c>
      <c r="E59" s="25">
        <f t="shared" si="3"/>
        <v>72</v>
      </c>
      <c r="F59" s="176">
        <v>16.46</v>
      </c>
      <c r="G59" s="27">
        <f t="shared" si="4"/>
        <v>1185.1200000000001</v>
      </c>
      <c r="H59" s="27">
        <f t="shared" si="5"/>
        <v>98.76</v>
      </c>
      <c r="I59" s="132" t="s">
        <v>213</v>
      </c>
    </row>
    <row r="60" spans="1:9" x14ac:dyDescent="0.25">
      <c r="A60" s="25">
        <v>59</v>
      </c>
      <c r="B60" s="184" t="s">
        <v>250</v>
      </c>
      <c r="C60" s="25" t="s">
        <v>234</v>
      </c>
      <c r="D60" s="25">
        <v>4</v>
      </c>
      <c r="E60" s="25">
        <f t="shared" si="3"/>
        <v>48</v>
      </c>
      <c r="F60" s="176">
        <v>18.8</v>
      </c>
      <c r="G60" s="27">
        <f t="shared" si="4"/>
        <v>902.40000000000009</v>
      </c>
      <c r="H60" s="27">
        <f t="shared" si="5"/>
        <v>75.2</v>
      </c>
      <c r="I60" s="132" t="s">
        <v>213</v>
      </c>
    </row>
    <row r="61" spans="1:9" x14ac:dyDescent="0.25">
      <c r="A61" s="134">
        <v>60</v>
      </c>
      <c r="B61" s="184" t="s">
        <v>251</v>
      </c>
      <c r="C61" s="25" t="s">
        <v>234</v>
      </c>
      <c r="D61" s="25">
        <v>4</v>
      </c>
      <c r="E61" s="25">
        <f t="shared" si="3"/>
        <v>48</v>
      </c>
      <c r="F61" s="176">
        <v>7.01</v>
      </c>
      <c r="G61" s="27">
        <f t="shared" si="4"/>
        <v>336.48</v>
      </c>
      <c r="H61" s="27">
        <f t="shared" si="5"/>
        <v>28.04</v>
      </c>
      <c r="I61" s="132" t="s">
        <v>213</v>
      </c>
    </row>
    <row r="62" spans="1:9" x14ac:dyDescent="0.25">
      <c r="A62" s="25">
        <v>61</v>
      </c>
      <c r="B62" s="184" t="s">
        <v>252</v>
      </c>
      <c r="C62" s="25" t="s">
        <v>234</v>
      </c>
      <c r="D62" s="25">
        <v>10</v>
      </c>
      <c r="E62" s="25">
        <f t="shared" si="3"/>
        <v>120</v>
      </c>
      <c r="F62" s="176">
        <v>13.13</v>
      </c>
      <c r="G62" s="27">
        <f t="shared" si="4"/>
        <v>1575.6000000000001</v>
      </c>
      <c r="H62" s="27">
        <f t="shared" si="5"/>
        <v>131.30000000000001</v>
      </c>
      <c r="I62" s="132" t="s">
        <v>213</v>
      </c>
    </row>
    <row r="63" spans="1:9" x14ac:dyDescent="0.25">
      <c r="A63" s="25">
        <v>62</v>
      </c>
      <c r="B63" s="184" t="s">
        <v>332</v>
      </c>
      <c r="C63" s="25" t="s">
        <v>234</v>
      </c>
      <c r="D63" s="25">
        <v>10</v>
      </c>
      <c r="E63" s="25">
        <f t="shared" si="3"/>
        <v>120</v>
      </c>
      <c r="F63" s="176">
        <v>1.75</v>
      </c>
      <c r="G63" s="27">
        <f t="shared" si="4"/>
        <v>210</v>
      </c>
      <c r="H63" s="27">
        <f t="shared" si="5"/>
        <v>17.5</v>
      </c>
      <c r="I63" s="132" t="s">
        <v>213</v>
      </c>
    </row>
    <row r="64" spans="1:9" ht="31.5" x14ac:dyDescent="0.25">
      <c r="A64" s="134">
        <v>63</v>
      </c>
      <c r="B64" s="184" t="s">
        <v>253</v>
      </c>
      <c r="C64" s="25" t="s">
        <v>234</v>
      </c>
      <c r="D64" s="25">
        <v>15</v>
      </c>
      <c r="E64" s="25">
        <f t="shared" si="3"/>
        <v>180</v>
      </c>
      <c r="F64" s="176">
        <v>3.59</v>
      </c>
      <c r="G64" s="27">
        <f t="shared" si="4"/>
        <v>646.19999999999993</v>
      </c>
      <c r="H64" s="27">
        <f t="shared" si="5"/>
        <v>53.849999999999994</v>
      </c>
      <c r="I64" s="132" t="s">
        <v>213</v>
      </c>
    </row>
    <row r="65" spans="1:9" x14ac:dyDescent="0.25">
      <c r="A65" s="25">
        <v>64</v>
      </c>
      <c r="B65" s="184" t="s">
        <v>254</v>
      </c>
      <c r="C65" s="25" t="s">
        <v>234</v>
      </c>
      <c r="D65" s="25">
        <v>0</v>
      </c>
      <c r="E65" s="25">
        <f t="shared" si="3"/>
        <v>0</v>
      </c>
      <c r="F65" s="176">
        <v>3.97</v>
      </c>
      <c r="G65" s="27">
        <f t="shared" si="4"/>
        <v>0</v>
      </c>
      <c r="H65" s="27">
        <f t="shared" si="5"/>
        <v>0</v>
      </c>
      <c r="I65" s="132" t="s">
        <v>213</v>
      </c>
    </row>
    <row r="66" spans="1:9" ht="47.25" x14ac:dyDescent="0.25">
      <c r="A66" s="25">
        <v>65</v>
      </c>
      <c r="B66" s="184" t="s">
        <v>255</v>
      </c>
      <c r="C66" s="25" t="s">
        <v>263</v>
      </c>
      <c r="D66" s="25">
        <v>17</v>
      </c>
      <c r="E66" s="25">
        <f t="shared" si="3"/>
        <v>204</v>
      </c>
      <c r="F66" s="176">
        <v>62.28</v>
      </c>
      <c r="G66" s="27">
        <f t="shared" si="4"/>
        <v>12705.12</v>
      </c>
      <c r="H66" s="27">
        <f t="shared" si="5"/>
        <v>1058.76</v>
      </c>
      <c r="I66" s="132" t="s">
        <v>213</v>
      </c>
    </row>
    <row r="67" spans="1:9" ht="47.25" x14ac:dyDescent="0.25">
      <c r="A67" s="134">
        <v>66</v>
      </c>
      <c r="B67" s="184" t="s">
        <v>256</v>
      </c>
      <c r="C67" s="25" t="s">
        <v>263</v>
      </c>
      <c r="D67" s="25">
        <v>24</v>
      </c>
      <c r="E67" s="25">
        <f t="shared" si="3"/>
        <v>288</v>
      </c>
      <c r="F67" s="176">
        <v>72</v>
      </c>
      <c r="G67" s="27">
        <f t="shared" si="4"/>
        <v>20736</v>
      </c>
      <c r="H67" s="27">
        <f t="shared" si="5"/>
        <v>1728</v>
      </c>
      <c r="I67" s="132" t="s">
        <v>213</v>
      </c>
    </row>
    <row r="68" spans="1:9" x14ac:dyDescent="0.25">
      <c r="A68" s="25">
        <v>67</v>
      </c>
      <c r="B68" s="184" t="s">
        <v>257</v>
      </c>
      <c r="C68" s="25" t="s">
        <v>234</v>
      </c>
      <c r="D68" s="25">
        <v>0</v>
      </c>
      <c r="E68" s="25">
        <f t="shared" si="3"/>
        <v>0</v>
      </c>
      <c r="F68" s="176">
        <v>1.35</v>
      </c>
      <c r="G68" s="27">
        <f t="shared" si="4"/>
        <v>0</v>
      </c>
      <c r="H68" s="27">
        <f t="shared" si="5"/>
        <v>0</v>
      </c>
      <c r="I68" s="132" t="s">
        <v>213</v>
      </c>
    </row>
    <row r="69" spans="1:9" x14ac:dyDescent="0.25">
      <c r="A69" s="25">
        <v>68</v>
      </c>
      <c r="B69" s="184" t="s">
        <v>333</v>
      </c>
      <c r="C69" s="25" t="s">
        <v>234</v>
      </c>
      <c r="D69" s="25">
        <v>3</v>
      </c>
      <c r="E69" s="25">
        <f t="shared" si="3"/>
        <v>36</v>
      </c>
      <c r="F69" s="176">
        <v>11.14</v>
      </c>
      <c r="G69" s="27">
        <f t="shared" si="4"/>
        <v>401.04</v>
      </c>
      <c r="H69" s="27">
        <f t="shared" si="5"/>
        <v>33.42</v>
      </c>
      <c r="I69" s="132" t="s">
        <v>213</v>
      </c>
    </row>
    <row r="70" spans="1:9" x14ac:dyDescent="0.25">
      <c r="A70" s="134">
        <v>69</v>
      </c>
      <c r="B70" s="184" t="s">
        <v>258</v>
      </c>
      <c r="C70" s="25" t="s">
        <v>234</v>
      </c>
      <c r="D70" s="25">
        <v>1</v>
      </c>
      <c r="E70" s="25">
        <f t="shared" si="3"/>
        <v>12</v>
      </c>
      <c r="F70" s="176">
        <v>20.57</v>
      </c>
      <c r="G70" s="27">
        <f t="shared" si="4"/>
        <v>246.84</v>
      </c>
      <c r="H70" s="27">
        <f t="shared" si="5"/>
        <v>20.57</v>
      </c>
      <c r="I70" s="132" t="s">
        <v>213</v>
      </c>
    </row>
    <row r="71" spans="1:9" ht="31.5" x14ac:dyDescent="0.25">
      <c r="A71" s="25">
        <v>70</v>
      </c>
      <c r="B71" s="184" t="s">
        <v>334</v>
      </c>
      <c r="C71" s="25" t="s">
        <v>234</v>
      </c>
      <c r="D71" s="25">
        <v>7</v>
      </c>
      <c r="E71" s="25">
        <f t="shared" si="3"/>
        <v>84</v>
      </c>
      <c r="F71" s="176">
        <v>43</v>
      </c>
      <c r="G71" s="27">
        <f t="shared" si="4"/>
        <v>3612</v>
      </c>
      <c r="H71" s="27">
        <f t="shared" si="5"/>
        <v>301</v>
      </c>
      <c r="I71" s="132" t="s">
        <v>213</v>
      </c>
    </row>
    <row r="72" spans="1:9" x14ac:dyDescent="0.25">
      <c r="A72" s="25">
        <v>71</v>
      </c>
      <c r="B72" s="185" t="s">
        <v>335</v>
      </c>
      <c r="C72" s="134" t="s">
        <v>234</v>
      </c>
      <c r="D72" s="134">
        <v>6</v>
      </c>
      <c r="E72" s="134">
        <f t="shared" si="3"/>
        <v>72</v>
      </c>
      <c r="F72" s="183">
        <v>23.6</v>
      </c>
      <c r="G72" s="27">
        <f t="shared" si="4"/>
        <v>1699.2</v>
      </c>
      <c r="H72" s="27">
        <f t="shared" si="5"/>
        <v>141.60000000000002</v>
      </c>
      <c r="I72" s="132" t="s">
        <v>213</v>
      </c>
    </row>
    <row r="73" spans="1:9" x14ac:dyDescent="0.25">
      <c r="A73" s="134">
        <v>72</v>
      </c>
      <c r="B73" s="184" t="s">
        <v>259</v>
      </c>
      <c r="C73" s="25" t="s">
        <v>234</v>
      </c>
      <c r="D73" s="25">
        <v>0</v>
      </c>
      <c r="E73" s="25">
        <f t="shared" si="3"/>
        <v>0</v>
      </c>
      <c r="F73" s="176">
        <v>3.85</v>
      </c>
      <c r="G73" s="27">
        <f t="shared" si="4"/>
        <v>0</v>
      </c>
      <c r="H73" s="27">
        <f t="shared" si="5"/>
        <v>0</v>
      </c>
      <c r="I73" s="132" t="s">
        <v>213</v>
      </c>
    </row>
    <row r="74" spans="1:9" ht="31.5" x14ac:dyDescent="0.25">
      <c r="A74" s="25">
        <v>73</v>
      </c>
      <c r="B74" s="184" t="s">
        <v>336</v>
      </c>
      <c r="C74" s="25" t="s">
        <v>263</v>
      </c>
      <c r="D74" s="25">
        <v>0</v>
      </c>
      <c r="E74" s="25">
        <f t="shared" si="3"/>
        <v>0</v>
      </c>
      <c r="F74" s="176">
        <v>9.8699999999999992</v>
      </c>
      <c r="G74" s="27">
        <f t="shared" si="4"/>
        <v>0</v>
      </c>
      <c r="H74" s="27">
        <f t="shared" si="5"/>
        <v>0</v>
      </c>
      <c r="I74" s="132" t="s">
        <v>213</v>
      </c>
    </row>
    <row r="75" spans="1:9" ht="31.5" x14ac:dyDescent="0.25">
      <c r="A75" s="25">
        <v>74</v>
      </c>
      <c r="B75" s="184" t="s">
        <v>337</v>
      </c>
      <c r="C75" s="25" t="s">
        <v>263</v>
      </c>
      <c r="D75" s="25">
        <v>2</v>
      </c>
      <c r="E75" s="25">
        <f t="shared" si="3"/>
        <v>24</v>
      </c>
      <c r="F75" s="176">
        <v>11.76</v>
      </c>
      <c r="G75" s="27">
        <f t="shared" si="4"/>
        <v>282.24</v>
      </c>
      <c r="H75" s="27">
        <f t="shared" si="5"/>
        <v>23.52</v>
      </c>
      <c r="I75" s="132" t="s">
        <v>213</v>
      </c>
    </row>
    <row r="76" spans="1:9" ht="31.5" x14ac:dyDescent="0.25">
      <c r="A76" s="134">
        <v>75</v>
      </c>
      <c r="B76" s="184" t="s">
        <v>338</v>
      </c>
      <c r="C76" s="25" t="s">
        <v>263</v>
      </c>
      <c r="D76" s="25">
        <v>8</v>
      </c>
      <c r="E76" s="25">
        <f t="shared" si="3"/>
        <v>96</v>
      </c>
      <c r="F76" s="176">
        <v>27.37</v>
      </c>
      <c r="G76" s="27">
        <f t="shared" si="4"/>
        <v>2627.52</v>
      </c>
      <c r="H76" s="27">
        <f t="shared" si="5"/>
        <v>218.96</v>
      </c>
      <c r="I76" s="132" t="s">
        <v>213</v>
      </c>
    </row>
    <row r="77" spans="1:9" ht="31.5" x14ac:dyDescent="0.25">
      <c r="A77" s="25">
        <v>76</v>
      </c>
      <c r="B77" s="184" t="s">
        <v>339</v>
      </c>
      <c r="C77" s="25" t="s">
        <v>263</v>
      </c>
      <c r="D77" s="25">
        <v>0</v>
      </c>
      <c r="E77" s="25">
        <f t="shared" si="3"/>
        <v>0</v>
      </c>
      <c r="F77" s="176">
        <v>62.87</v>
      </c>
      <c r="G77" s="27">
        <f t="shared" si="4"/>
        <v>0</v>
      </c>
      <c r="H77" s="27">
        <f t="shared" si="5"/>
        <v>0</v>
      </c>
      <c r="I77" s="132" t="s">
        <v>213</v>
      </c>
    </row>
    <row r="78" spans="1:9" ht="31.5" x14ac:dyDescent="0.25">
      <c r="A78" s="25">
        <v>77</v>
      </c>
      <c r="B78" s="184" t="s">
        <v>340</v>
      </c>
      <c r="C78" s="25" t="s">
        <v>263</v>
      </c>
      <c r="D78" s="25">
        <v>14</v>
      </c>
      <c r="E78" s="25">
        <f t="shared" si="3"/>
        <v>168</v>
      </c>
      <c r="F78" s="176">
        <v>89.98</v>
      </c>
      <c r="G78" s="27">
        <f t="shared" si="4"/>
        <v>15116.640000000001</v>
      </c>
      <c r="H78" s="27">
        <f t="shared" si="5"/>
        <v>1259.72</v>
      </c>
      <c r="I78" s="132" t="s">
        <v>213</v>
      </c>
    </row>
    <row r="79" spans="1:9" x14ac:dyDescent="0.25">
      <c r="A79" s="134">
        <v>78</v>
      </c>
      <c r="B79" s="185" t="s">
        <v>260</v>
      </c>
      <c r="C79" s="134" t="s">
        <v>234</v>
      </c>
      <c r="D79" s="134">
        <v>0</v>
      </c>
      <c r="E79" s="134">
        <f t="shared" si="3"/>
        <v>0</v>
      </c>
      <c r="F79" s="183">
        <v>26.75</v>
      </c>
      <c r="G79" s="27">
        <f t="shared" si="4"/>
        <v>0</v>
      </c>
      <c r="H79" s="27">
        <f t="shared" si="5"/>
        <v>0</v>
      </c>
      <c r="I79" s="132" t="s">
        <v>213</v>
      </c>
    </row>
    <row r="80" spans="1:9" x14ac:dyDescent="0.25">
      <c r="A80" s="25">
        <v>79</v>
      </c>
      <c r="B80" s="184" t="s">
        <v>341</v>
      </c>
      <c r="C80" s="25" t="s">
        <v>234</v>
      </c>
      <c r="D80" s="25">
        <f>1/12</f>
        <v>8.3333333333333329E-2</v>
      </c>
      <c r="E80" s="134">
        <f>D80*12</f>
        <v>1</v>
      </c>
      <c r="F80" s="186">
        <v>26.98</v>
      </c>
      <c r="G80" s="27">
        <f>F80*E80</f>
        <v>26.98</v>
      </c>
      <c r="H80" s="27">
        <f>F80*D80</f>
        <v>2.2483333333333331</v>
      </c>
      <c r="I80" s="132" t="s">
        <v>304</v>
      </c>
    </row>
    <row r="81" spans="1:9" x14ac:dyDescent="0.25">
      <c r="A81" s="134">
        <v>80</v>
      </c>
      <c r="B81" s="184" t="s">
        <v>342</v>
      </c>
      <c r="C81" s="25" t="s">
        <v>234</v>
      </c>
      <c r="D81" s="25">
        <f>1/12</f>
        <v>8.3333333333333329E-2</v>
      </c>
      <c r="E81" s="134">
        <f>D81*12</f>
        <v>1</v>
      </c>
      <c r="F81" s="186">
        <v>36.5</v>
      </c>
      <c r="G81" s="27">
        <f>F81*E81</f>
        <v>36.5</v>
      </c>
      <c r="H81" s="27">
        <f>F81*D81</f>
        <v>3.0416666666666665</v>
      </c>
      <c r="I81" s="132" t="s">
        <v>304</v>
      </c>
    </row>
    <row r="82" spans="1:9" ht="47.25" x14ac:dyDescent="0.25">
      <c r="A82" s="25">
        <v>81</v>
      </c>
      <c r="B82" s="184" t="s">
        <v>343</v>
      </c>
      <c r="C82" s="25" t="s">
        <v>234</v>
      </c>
      <c r="D82" s="25">
        <f>1/12</f>
        <v>8.3333333333333329E-2</v>
      </c>
      <c r="E82" s="134">
        <f>D82*12</f>
        <v>1</v>
      </c>
      <c r="F82" s="186">
        <v>90.15</v>
      </c>
      <c r="G82" s="27">
        <f>F82*E82</f>
        <v>90.15</v>
      </c>
      <c r="H82" s="27">
        <f>F82*D82</f>
        <v>7.5125000000000002</v>
      </c>
      <c r="I82" s="132" t="s">
        <v>304</v>
      </c>
    </row>
    <row r="83" spans="1:9" x14ac:dyDescent="0.25">
      <c r="A83" s="25"/>
      <c r="B83" s="25"/>
      <c r="C83" s="25"/>
      <c r="D83" s="25"/>
      <c r="E83" s="25"/>
      <c r="F83" s="26"/>
      <c r="G83" s="27"/>
      <c r="H83" s="27"/>
      <c r="I83" s="25"/>
    </row>
    <row r="84" spans="1:9" x14ac:dyDescent="0.25">
      <c r="A84" s="25"/>
      <c r="B84" s="25"/>
      <c r="C84" s="25"/>
      <c r="D84" s="25"/>
      <c r="E84" s="25"/>
      <c r="F84" s="26"/>
      <c r="G84" s="27"/>
      <c r="H84" s="27"/>
      <c r="I84" s="25"/>
    </row>
    <row r="85" spans="1:9" x14ac:dyDescent="0.25">
      <c r="A85" s="25"/>
      <c r="B85" s="25"/>
      <c r="C85" s="25"/>
      <c r="D85" s="25"/>
      <c r="E85" s="25"/>
      <c r="F85" s="26"/>
      <c r="G85" s="27"/>
      <c r="H85" s="27"/>
      <c r="I85" s="25"/>
    </row>
    <row r="86" spans="1:9" x14ac:dyDescent="0.25">
      <c r="A86" s="25"/>
      <c r="B86" s="25"/>
      <c r="C86" s="25"/>
      <c r="D86" s="25"/>
      <c r="E86" s="25"/>
      <c r="F86" s="26"/>
      <c r="G86" s="27"/>
      <c r="H86" s="27"/>
      <c r="I86" s="25"/>
    </row>
    <row r="87" spans="1:9" x14ac:dyDescent="0.25">
      <c r="A87" s="25"/>
      <c r="B87" s="25"/>
      <c r="C87" s="25"/>
      <c r="D87" s="25"/>
      <c r="E87" s="25"/>
      <c r="F87" s="26"/>
      <c r="G87" s="27"/>
      <c r="H87" s="27"/>
      <c r="I87" s="25"/>
    </row>
    <row r="88" spans="1:9" x14ac:dyDescent="0.25">
      <c r="A88" s="25"/>
      <c r="B88" s="25"/>
      <c r="C88" s="25"/>
      <c r="D88" s="25"/>
      <c r="E88" s="25"/>
      <c r="F88" s="26"/>
      <c r="G88" s="27"/>
      <c r="H88" s="27"/>
      <c r="I88" s="25"/>
    </row>
    <row r="89" spans="1:9" x14ac:dyDescent="0.25">
      <c r="A89" s="25"/>
      <c r="B89" s="25"/>
      <c r="C89" s="25"/>
      <c r="D89" s="25"/>
      <c r="E89" s="25"/>
      <c r="F89" s="26"/>
      <c r="G89" s="27"/>
      <c r="H89" s="27"/>
      <c r="I89" s="25"/>
    </row>
    <row r="90" spans="1:9" x14ac:dyDescent="0.25">
      <c r="A90" s="25"/>
      <c r="B90" s="25"/>
      <c r="C90" s="25"/>
      <c r="D90" s="25"/>
      <c r="E90" s="25"/>
      <c r="F90" s="26"/>
      <c r="G90" s="27"/>
      <c r="H90" s="27"/>
      <c r="I90" s="25"/>
    </row>
    <row r="91" spans="1:9" x14ac:dyDescent="0.25">
      <c r="A91" s="25"/>
      <c r="B91" s="25"/>
      <c r="C91" s="25"/>
      <c r="D91" s="25"/>
      <c r="E91" s="25"/>
      <c r="F91" s="26"/>
      <c r="G91" s="27"/>
      <c r="H91" s="27"/>
      <c r="I91" s="25"/>
    </row>
    <row r="92" spans="1:9" x14ac:dyDescent="0.25">
      <c r="A92" s="25"/>
      <c r="B92" s="25"/>
      <c r="C92" s="25"/>
      <c r="D92" s="25"/>
      <c r="E92" s="25"/>
      <c r="F92" s="26"/>
      <c r="G92" s="27"/>
      <c r="H92" s="27"/>
      <c r="I92" s="25"/>
    </row>
    <row r="93" spans="1:9" x14ac:dyDescent="0.25">
      <c r="A93" s="25"/>
      <c r="B93" s="25"/>
      <c r="C93" s="25"/>
      <c r="D93" s="25"/>
      <c r="E93" s="25"/>
      <c r="F93" s="26"/>
      <c r="G93" s="27"/>
      <c r="H93" s="27"/>
      <c r="I93" s="25"/>
    </row>
    <row r="94" spans="1:9" x14ac:dyDescent="0.25">
      <c r="A94" s="25"/>
      <c r="B94" s="25"/>
      <c r="C94" s="25"/>
      <c r="D94" s="25"/>
      <c r="E94" s="25"/>
      <c r="F94" s="26"/>
      <c r="G94" s="27"/>
      <c r="H94" s="27"/>
      <c r="I94" s="25"/>
    </row>
    <row r="95" spans="1:9" x14ac:dyDescent="0.25">
      <c r="A95" s="25"/>
      <c r="B95" s="25"/>
      <c r="C95" s="25"/>
      <c r="D95" s="25"/>
      <c r="E95" s="25"/>
      <c r="F95" s="26"/>
      <c r="G95" s="27"/>
      <c r="H95" s="27"/>
      <c r="I95" s="25"/>
    </row>
    <row r="96" spans="1:9" x14ac:dyDescent="0.25">
      <c r="A96" s="25"/>
      <c r="B96" s="25"/>
      <c r="C96" s="25"/>
      <c r="D96" s="25"/>
      <c r="E96" s="25"/>
      <c r="F96" s="26"/>
      <c r="G96" s="27"/>
      <c r="H96" s="27"/>
      <c r="I96" s="25"/>
    </row>
    <row r="97" spans="1:9" x14ac:dyDescent="0.25">
      <c r="A97" s="25"/>
      <c r="B97" s="25"/>
      <c r="C97" s="25"/>
      <c r="D97" s="25"/>
      <c r="E97" s="25"/>
      <c r="F97" s="26"/>
      <c r="G97" s="27"/>
      <c r="H97" s="27"/>
      <c r="I97" s="25"/>
    </row>
    <row r="98" spans="1:9" x14ac:dyDescent="0.25">
      <c r="A98" s="25"/>
      <c r="B98" s="25"/>
      <c r="C98" s="25"/>
      <c r="D98" s="25"/>
      <c r="E98" s="25"/>
      <c r="F98" s="26"/>
      <c r="G98" s="27"/>
      <c r="H98" s="27"/>
      <c r="I98" s="25"/>
    </row>
    <row r="99" spans="1:9" x14ac:dyDescent="0.25">
      <c r="A99" s="25"/>
      <c r="B99" s="25"/>
      <c r="C99" s="25"/>
      <c r="D99" s="25"/>
      <c r="E99" s="25"/>
      <c r="F99" s="26"/>
      <c r="G99" s="27"/>
      <c r="H99" s="27"/>
      <c r="I99" s="25"/>
    </row>
    <row r="100" spans="1:9" x14ac:dyDescent="0.25">
      <c r="A100" s="25"/>
      <c r="B100" s="25"/>
      <c r="C100" s="25"/>
      <c r="D100" s="25"/>
      <c r="E100" s="25"/>
      <c r="F100" s="26"/>
      <c r="G100" s="27"/>
      <c r="H100" s="27"/>
      <c r="I100" s="25"/>
    </row>
    <row r="101" spans="1:9" x14ac:dyDescent="0.25">
      <c r="A101" s="25"/>
      <c r="B101" s="25"/>
      <c r="C101" s="25"/>
      <c r="D101" s="25"/>
      <c r="E101" s="25"/>
      <c r="F101" s="26"/>
      <c r="G101" s="27"/>
      <c r="H101" s="27"/>
      <c r="I101" s="25"/>
    </row>
    <row r="102" spans="1:9" x14ac:dyDescent="0.25">
      <c r="A102" s="25"/>
      <c r="B102" s="25"/>
      <c r="C102" s="25"/>
      <c r="D102" s="25"/>
      <c r="E102" s="25"/>
      <c r="F102" s="26"/>
      <c r="G102" s="27"/>
      <c r="H102" s="27"/>
      <c r="I102" s="25"/>
    </row>
    <row r="103" spans="1:9" x14ac:dyDescent="0.25">
      <c r="A103" s="25"/>
      <c r="B103" s="25"/>
      <c r="C103" s="25"/>
      <c r="D103" s="25"/>
      <c r="E103" s="25"/>
      <c r="F103" s="26"/>
      <c r="G103" s="27"/>
      <c r="H103" s="27"/>
      <c r="I103" s="25"/>
    </row>
    <row r="104" spans="1:9" x14ac:dyDescent="0.25">
      <c r="A104" s="25"/>
      <c r="B104" s="25"/>
      <c r="C104" s="25"/>
      <c r="D104" s="25"/>
      <c r="E104" s="25"/>
      <c r="F104" s="26"/>
      <c r="G104" s="27"/>
      <c r="H104" s="27"/>
      <c r="I104" s="25"/>
    </row>
    <row r="105" spans="1:9" x14ac:dyDescent="0.25">
      <c r="A105" s="25"/>
      <c r="B105" s="25"/>
      <c r="C105" s="25"/>
      <c r="D105" s="25"/>
      <c r="E105" s="25"/>
      <c r="F105" s="26"/>
      <c r="G105" s="27"/>
      <c r="H105" s="27"/>
      <c r="I105" s="25"/>
    </row>
    <row r="106" spans="1:9" x14ac:dyDescent="0.25">
      <c r="A106" s="25"/>
      <c r="B106" s="25"/>
      <c r="C106" s="25"/>
      <c r="D106" s="25"/>
      <c r="E106" s="25"/>
      <c r="F106" s="26"/>
      <c r="G106" s="27"/>
      <c r="H106" s="27"/>
      <c r="I106" s="25"/>
    </row>
    <row r="107" spans="1:9" x14ac:dyDescent="0.25">
      <c r="A107" s="25"/>
      <c r="B107" s="25"/>
      <c r="C107" s="25"/>
      <c r="D107" s="25"/>
      <c r="E107" s="25"/>
      <c r="F107" s="26"/>
      <c r="G107" s="27"/>
      <c r="H107" s="27"/>
      <c r="I107" s="25"/>
    </row>
    <row r="108" spans="1:9" x14ac:dyDescent="0.25">
      <c r="A108" s="25"/>
      <c r="B108" s="25"/>
      <c r="C108" s="25"/>
      <c r="D108" s="25"/>
      <c r="E108" s="25"/>
      <c r="F108" s="26"/>
      <c r="G108" s="27"/>
      <c r="H108" s="27"/>
      <c r="I108" s="25"/>
    </row>
    <row r="109" spans="1:9" x14ac:dyDescent="0.25">
      <c r="A109" s="25"/>
      <c r="B109" s="25"/>
      <c r="C109" s="25"/>
      <c r="D109" s="25"/>
      <c r="E109" s="25"/>
      <c r="F109" s="26"/>
      <c r="G109" s="27"/>
      <c r="H109" s="27"/>
      <c r="I109" s="25"/>
    </row>
    <row r="110" spans="1:9" x14ac:dyDescent="0.25">
      <c r="A110" s="25"/>
      <c r="B110" s="25"/>
      <c r="C110" s="25"/>
      <c r="D110" s="25"/>
      <c r="E110" s="25"/>
      <c r="F110" s="26"/>
      <c r="G110" s="27"/>
      <c r="H110" s="27"/>
      <c r="I110" s="25"/>
    </row>
    <row r="111" spans="1:9" x14ac:dyDescent="0.25">
      <c r="A111" s="25"/>
      <c r="B111" s="25"/>
      <c r="C111" s="25"/>
      <c r="D111" s="25"/>
      <c r="E111" s="25"/>
      <c r="F111" s="26"/>
      <c r="G111" s="27"/>
      <c r="H111" s="27"/>
      <c r="I111" s="25"/>
    </row>
    <row r="112" spans="1:9" x14ac:dyDescent="0.25">
      <c r="A112" s="25"/>
      <c r="B112" s="25"/>
      <c r="C112" s="25"/>
      <c r="D112" s="25"/>
      <c r="E112" s="25"/>
      <c r="F112" s="26"/>
      <c r="G112" s="27"/>
      <c r="H112" s="27"/>
      <c r="I112" s="25"/>
    </row>
    <row r="113" spans="1:9" x14ac:dyDescent="0.25">
      <c r="A113" s="25"/>
      <c r="B113" s="25"/>
      <c r="C113" s="25"/>
      <c r="D113" s="25"/>
      <c r="E113" s="25"/>
      <c r="F113" s="26"/>
      <c r="G113" s="27"/>
      <c r="H113" s="27"/>
      <c r="I113" s="25"/>
    </row>
    <row r="114" spans="1:9" x14ac:dyDescent="0.25">
      <c r="A114" s="25"/>
      <c r="B114" s="25"/>
      <c r="C114" s="25"/>
      <c r="D114" s="25"/>
      <c r="E114" s="25"/>
      <c r="F114" s="26"/>
      <c r="G114" s="27"/>
      <c r="H114" s="27"/>
      <c r="I114" s="25"/>
    </row>
    <row r="115" spans="1:9" x14ac:dyDescent="0.25">
      <c r="A115" s="25"/>
      <c r="B115" s="25"/>
      <c r="C115" s="25"/>
      <c r="D115" s="25"/>
      <c r="E115" s="25"/>
      <c r="F115" s="26"/>
      <c r="G115" s="27"/>
      <c r="H115" s="27"/>
      <c r="I115" s="25"/>
    </row>
    <row r="116" spans="1:9" x14ac:dyDescent="0.25">
      <c r="A116" s="25"/>
      <c r="B116" s="25"/>
      <c r="C116" s="25"/>
      <c r="D116" s="25"/>
      <c r="E116" s="25"/>
      <c r="F116" s="26"/>
      <c r="G116" s="27"/>
      <c r="H116" s="27"/>
      <c r="I116" s="25"/>
    </row>
    <row r="117" spans="1:9" x14ac:dyDescent="0.25">
      <c r="A117" s="25"/>
      <c r="B117" s="25"/>
      <c r="C117" s="25"/>
      <c r="D117" s="25"/>
      <c r="E117" s="25"/>
      <c r="F117" s="26"/>
      <c r="G117" s="27"/>
      <c r="H117" s="27"/>
      <c r="I117" s="25"/>
    </row>
    <row r="118" spans="1:9" x14ac:dyDescent="0.25">
      <c r="A118" s="25"/>
      <c r="B118" s="25"/>
      <c r="C118" s="25"/>
      <c r="D118" s="25"/>
      <c r="E118" s="25"/>
      <c r="F118" s="26"/>
      <c r="G118" s="27"/>
      <c r="H118" s="27"/>
      <c r="I118" s="25"/>
    </row>
    <row r="119" spans="1:9" x14ac:dyDescent="0.25">
      <c r="A119" s="25"/>
      <c r="B119" s="25"/>
      <c r="C119" s="25"/>
      <c r="D119" s="25"/>
      <c r="E119" s="25"/>
      <c r="F119" s="26"/>
      <c r="G119" s="27"/>
      <c r="H119" s="27"/>
      <c r="I119" s="25"/>
    </row>
    <row r="120" spans="1:9" x14ac:dyDescent="0.25">
      <c r="A120" s="25"/>
      <c r="B120" s="25"/>
      <c r="C120" s="25"/>
      <c r="D120" s="25"/>
      <c r="E120" s="25"/>
      <c r="F120" s="26"/>
      <c r="G120" s="27"/>
      <c r="H120" s="27"/>
      <c r="I120" s="25"/>
    </row>
    <row r="121" spans="1:9" x14ac:dyDescent="0.25">
      <c r="A121" s="25"/>
      <c r="B121" s="25"/>
      <c r="C121" s="25"/>
      <c r="D121" s="25"/>
      <c r="E121" s="25"/>
      <c r="F121" s="26"/>
      <c r="G121" s="27"/>
      <c r="H121" s="27"/>
      <c r="I121" s="25"/>
    </row>
    <row r="122" spans="1:9" x14ac:dyDescent="0.25">
      <c r="A122" s="25"/>
      <c r="B122" s="25"/>
      <c r="C122" s="25"/>
      <c r="D122" s="25"/>
      <c r="E122" s="25"/>
      <c r="F122" s="26"/>
      <c r="G122" s="27"/>
      <c r="H122" s="27"/>
      <c r="I122" s="25"/>
    </row>
    <row r="123" spans="1:9" x14ac:dyDescent="0.25">
      <c r="A123" s="25"/>
      <c r="B123" s="25"/>
      <c r="C123" s="25"/>
      <c r="D123" s="25"/>
      <c r="E123" s="25"/>
      <c r="F123" s="26"/>
      <c r="G123" s="27"/>
      <c r="H123" s="27"/>
      <c r="I123" s="25"/>
    </row>
    <row r="124" spans="1:9" x14ac:dyDescent="0.25">
      <c r="A124" s="25"/>
      <c r="B124" s="25"/>
      <c r="C124" s="25"/>
      <c r="D124" s="25"/>
      <c r="E124" s="25"/>
      <c r="F124" s="26"/>
      <c r="G124" s="27"/>
      <c r="H124" s="27"/>
      <c r="I124" s="25"/>
    </row>
    <row r="125" spans="1:9" x14ac:dyDescent="0.25">
      <c r="A125" s="25"/>
      <c r="B125" s="25"/>
      <c r="C125" s="25"/>
      <c r="D125" s="25"/>
      <c r="E125" s="25"/>
      <c r="F125" s="26"/>
      <c r="G125" s="27"/>
      <c r="H125" s="27"/>
      <c r="I125" s="25"/>
    </row>
    <row r="126" spans="1:9" x14ac:dyDescent="0.25">
      <c r="A126" s="25"/>
      <c r="B126" s="25"/>
      <c r="C126" s="25"/>
      <c r="D126" s="25"/>
      <c r="E126" s="25"/>
      <c r="F126" s="26"/>
      <c r="G126" s="27"/>
      <c r="H126" s="27"/>
      <c r="I126" s="25"/>
    </row>
    <row r="127" spans="1:9" x14ac:dyDescent="0.25">
      <c r="A127" s="25"/>
      <c r="B127" s="25"/>
      <c r="C127" s="25"/>
      <c r="D127" s="25"/>
      <c r="E127" s="25"/>
      <c r="F127" s="26"/>
      <c r="G127" s="27"/>
      <c r="H127" s="27"/>
      <c r="I127" s="25"/>
    </row>
    <row r="128" spans="1:9" x14ac:dyDescent="0.25">
      <c r="A128" s="25"/>
      <c r="B128" s="25"/>
      <c r="C128" s="25"/>
      <c r="D128" s="25"/>
      <c r="E128" s="25"/>
      <c r="F128" s="26"/>
      <c r="G128" s="27"/>
      <c r="H128" s="27"/>
      <c r="I128" s="25"/>
    </row>
    <row r="129" spans="1:9" x14ac:dyDescent="0.25">
      <c r="A129" s="25"/>
      <c r="B129" s="25"/>
      <c r="C129" s="25"/>
      <c r="D129" s="25"/>
      <c r="E129" s="25"/>
      <c r="F129" s="26"/>
      <c r="G129" s="27"/>
      <c r="H129" s="27"/>
      <c r="I129" s="25"/>
    </row>
    <row r="130" spans="1:9" x14ac:dyDescent="0.25">
      <c r="A130" s="25"/>
      <c r="B130" s="25"/>
      <c r="C130" s="25"/>
      <c r="D130" s="25"/>
      <c r="E130" s="25"/>
      <c r="F130" s="26"/>
      <c r="G130" s="27"/>
      <c r="H130" s="27"/>
      <c r="I130" s="25"/>
    </row>
    <row r="131" spans="1:9" x14ac:dyDescent="0.25">
      <c r="A131" s="25"/>
      <c r="B131" s="25"/>
      <c r="C131" s="25"/>
      <c r="D131" s="25"/>
      <c r="E131" s="25"/>
      <c r="F131" s="26"/>
      <c r="G131" s="27"/>
      <c r="H131" s="27"/>
      <c r="I131" s="25"/>
    </row>
    <row r="132" spans="1:9" x14ac:dyDescent="0.25">
      <c r="A132" s="25"/>
      <c r="B132" s="25"/>
      <c r="C132" s="25"/>
      <c r="D132" s="25"/>
      <c r="E132" s="25"/>
      <c r="F132" s="26"/>
      <c r="G132" s="27"/>
      <c r="H132" s="27"/>
      <c r="I132" s="25"/>
    </row>
    <row r="133" spans="1:9" x14ac:dyDescent="0.25">
      <c r="A133" s="25"/>
      <c r="B133" s="25"/>
      <c r="C133" s="25"/>
      <c r="D133" s="25"/>
      <c r="E133" s="25"/>
      <c r="F133" s="26"/>
      <c r="G133" s="27"/>
      <c r="H133" s="27"/>
      <c r="I133" s="25"/>
    </row>
    <row r="134" spans="1:9" x14ac:dyDescent="0.25">
      <c r="A134" s="25"/>
      <c r="B134" s="25"/>
      <c r="C134" s="25"/>
      <c r="D134" s="25"/>
      <c r="E134" s="25"/>
      <c r="F134" s="26"/>
      <c r="G134" s="27"/>
      <c r="H134" s="27"/>
      <c r="I134" s="25"/>
    </row>
    <row r="135" spans="1:9" x14ac:dyDescent="0.25">
      <c r="A135" s="25"/>
      <c r="B135" s="25"/>
      <c r="C135" s="25"/>
      <c r="D135" s="25"/>
      <c r="E135" s="25"/>
      <c r="F135" s="26"/>
      <c r="G135" s="27"/>
      <c r="H135" s="27"/>
      <c r="I135" s="25"/>
    </row>
    <row r="136" spans="1:9" x14ac:dyDescent="0.25">
      <c r="A136" s="25"/>
      <c r="B136" s="25"/>
      <c r="C136" s="25"/>
      <c r="D136" s="25"/>
      <c r="E136" s="25"/>
      <c r="F136" s="26"/>
      <c r="G136" s="27"/>
      <c r="H136" s="27"/>
      <c r="I136" s="25"/>
    </row>
    <row r="137" spans="1:9" x14ac:dyDescent="0.25">
      <c r="A137" s="25"/>
      <c r="B137" s="25"/>
      <c r="C137" s="25"/>
      <c r="D137" s="25"/>
      <c r="E137" s="25"/>
      <c r="F137" s="26"/>
      <c r="G137" s="27"/>
      <c r="H137" s="27"/>
      <c r="I137" s="25"/>
    </row>
    <row r="138" spans="1:9" x14ac:dyDescent="0.25">
      <c r="A138" s="25"/>
      <c r="B138" s="25"/>
      <c r="C138" s="25"/>
      <c r="D138" s="25"/>
      <c r="E138" s="25"/>
      <c r="F138" s="26"/>
      <c r="G138" s="27"/>
      <c r="H138" s="27"/>
      <c r="I138" s="25"/>
    </row>
    <row r="139" spans="1:9" x14ac:dyDescent="0.25">
      <c r="A139" s="25"/>
      <c r="B139" s="25"/>
      <c r="C139" s="25"/>
      <c r="D139" s="25"/>
      <c r="E139" s="25"/>
      <c r="F139" s="26"/>
      <c r="G139" s="27"/>
      <c r="H139" s="27"/>
      <c r="I139" s="25"/>
    </row>
    <row r="140" spans="1:9" x14ac:dyDescent="0.25">
      <c r="A140" s="25"/>
      <c r="B140" s="25"/>
      <c r="C140" s="25"/>
      <c r="D140" s="25"/>
      <c r="E140" s="25"/>
      <c r="F140" s="26"/>
      <c r="G140" s="27"/>
      <c r="H140" s="27"/>
      <c r="I140" s="25"/>
    </row>
    <row r="141" spans="1:9" x14ac:dyDescent="0.25">
      <c r="A141" s="25"/>
      <c r="B141" s="25"/>
      <c r="C141" s="25"/>
      <c r="D141" s="25"/>
      <c r="E141" s="25"/>
      <c r="F141" s="26"/>
      <c r="G141" s="27"/>
      <c r="H141" s="27"/>
      <c r="I141" s="25"/>
    </row>
    <row r="142" spans="1:9" x14ac:dyDescent="0.25">
      <c r="A142" s="25"/>
      <c r="B142" s="25"/>
      <c r="C142" s="25"/>
      <c r="D142" s="25"/>
      <c r="E142" s="25"/>
      <c r="F142" s="26"/>
      <c r="G142" s="27"/>
      <c r="H142" s="27"/>
      <c r="I142" s="25"/>
    </row>
    <row r="143" spans="1:9" x14ac:dyDescent="0.25">
      <c r="A143" s="25"/>
      <c r="B143" s="25"/>
      <c r="C143" s="25"/>
      <c r="D143" s="25"/>
      <c r="E143" s="25"/>
      <c r="F143" s="26"/>
      <c r="G143" s="27"/>
      <c r="H143" s="27"/>
      <c r="I143" s="25"/>
    </row>
    <row r="144" spans="1:9" x14ac:dyDescent="0.25">
      <c r="A144" s="25"/>
      <c r="B144" s="25"/>
      <c r="C144" s="25"/>
      <c r="D144" s="25"/>
      <c r="E144" s="25"/>
      <c r="F144" s="26"/>
      <c r="G144" s="27"/>
      <c r="H144" s="27"/>
      <c r="I144" s="25"/>
    </row>
    <row r="145" spans="1:9" x14ac:dyDescent="0.25">
      <c r="A145" s="25"/>
      <c r="B145" s="25"/>
      <c r="C145" s="25"/>
      <c r="D145" s="25"/>
      <c r="E145" s="25"/>
      <c r="F145" s="26"/>
      <c r="G145" s="27"/>
      <c r="H145" s="27"/>
      <c r="I145" s="25"/>
    </row>
    <row r="146" spans="1:9" x14ac:dyDescent="0.25">
      <c r="A146" s="25"/>
      <c r="B146" s="25"/>
      <c r="C146" s="25"/>
      <c r="D146" s="25"/>
      <c r="E146" s="25"/>
      <c r="F146" s="26"/>
      <c r="G146" s="27"/>
      <c r="H146" s="27"/>
      <c r="I146" s="25"/>
    </row>
    <row r="147" spans="1:9" x14ac:dyDescent="0.25">
      <c r="A147" s="25"/>
      <c r="B147" s="25"/>
      <c r="C147" s="25"/>
      <c r="D147" s="25"/>
      <c r="E147" s="25"/>
      <c r="F147" s="26"/>
      <c r="G147" s="27"/>
      <c r="H147" s="27"/>
      <c r="I147" s="25"/>
    </row>
    <row r="148" spans="1:9" x14ac:dyDescent="0.25">
      <c r="A148" s="25"/>
      <c r="B148" s="25"/>
      <c r="C148" s="25"/>
      <c r="D148" s="25"/>
      <c r="E148" s="25"/>
      <c r="F148" s="26"/>
      <c r="G148" s="27"/>
      <c r="H148" s="27"/>
      <c r="I148" s="25"/>
    </row>
    <row r="149" spans="1:9" x14ac:dyDescent="0.25">
      <c r="A149" s="25"/>
      <c r="B149" s="25"/>
      <c r="C149" s="25"/>
      <c r="D149" s="25"/>
      <c r="E149" s="25"/>
      <c r="F149" s="26"/>
      <c r="G149" s="27"/>
      <c r="H149" s="27"/>
      <c r="I149" s="25"/>
    </row>
    <row r="150" spans="1:9" x14ac:dyDescent="0.25">
      <c r="A150" s="25"/>
      <c r="B150" s="25"/>
      <c r="C150" s="25"/>
      <c r="D150" s="25"/>
      <c r="E150" s="25"/>
      <c r="F150" s="26"/>
      <c r="G150" s="27"/>
      <c r="H150" s="27"/>
      <c r="I150" s="25"/>
    </row>
    <row r="151" spans="1:9" x14ac:dyDescent="0.25">
      <c r="A151" s="25"/>
      <c r="B151" s="25"/>
      <c r="C151" s="25"/>
      <c r="D151" s="25"/>
      <c r="E151" s="25"/>
      <c r="F151" s="26"/>
      <c r="G151" s="27"/>
      <c r="H151" s="27"/>
      <c r="I151" s="25"/>
    </row>
    <row r="152" spans="1:9" x14ac:dyDescent="0.25">
      <c r="A152" s="25"/>
      <c r="B152" s="25"/>
      <c r="C152" s="25"/>
      <c r="D152" s="25"/>
      <c r="E152" s="25"/>
      <c r="F152" s="26"/>
      <c r="G152" s="27"/>
      <c r="H152" s="27"/>
      <c r="I152" s="25"/>
    </row>
    <row r="153" spans="1:9" x14ac:dyDescent="0.25">
      <c r="A153" s="25"/>
      <c r="B153" s="25"/>
      <c r="C153" s="25"/>
      <c r="D153" s="25"/>
      <c r="E153" s="25"/>
      <c r="F153" s="26"/>
      <c r="G153" s="27"/>
      <c r="H153" s="27"/>
      <c r="I153" s="25"/>
    </row>
    <row r="154" spans="1:9" x14ac:dyDescent="0.25">
      <c r="A154" s="25"/>
      <c r="B154" s="25"/>
      <c r="C154" s="25"/>
      <c r="D154" s="25"/>
      <c r="E154" s="25"/>
      <c r="F154" s="26"/>
      <c r="G154" s="27"/>
      <c r="H154" s="27"/>
      <c r="I154" s="25"/>
    </row>
    <row r="155" spans="1:9" x14ac:dyDescent="0.25">
      <c r="A155" s="25"/>
      <c r="B155" s="25"/>
      <c r="C155" s="25"/>
      <c r="D155" s="25"/>
      <c r="E155" s="25"/>
      <c r="F155" s="26"/>
      <c r="G155" s="27"/>
      <c r="H155" s="27"/>
      <c r="I155" s="25"/>
    </row>
    <row r="156" spans="1:9" x14ac:dyDescent="0.25">
      <c r="A156" s="25"/>
      <c r="B156" s="25"/>
      <c r="C156" s="25"/>
      <c r="D156" s="25"/>
      <c r="E156" s="25"/>
      <c r="F156" s="26"/>
      <c r="G156" s="27"/>
      <c r="H156" s="27"/>
      <c r="I156" s="25"/>
    </row>
    <row r="157" spans="1:9" x14ac:dyDescent="0.25">
      <c r="A157" s="25"/>
      <c r="B157" s="25"/>
      <c r="C157" s="25"/>
      <c r="D157" s="25"/>
      <c r="E157" s="25"/>
      <c r="F157" s="26"/>
      <c r="G157" s="27"/>
      <c r="H157" s="27"/>
      <c r="I157" s="25"/>
    </row>
    <row r="158" spans="1:9" x14ac:dyDescent="0.25">
      <c r="A158" s="25"/>
      <c r="B158" s="25"/>
      <c r="C158" s="25"/>
      <c r="D158" s="25"/>
      <c r="E158" s="25"/>
      <c r="F158" s="26"/>
      <c r="G158" s="27"/>
      <c r="H158" s="27"/>
      <c r="I158" s="25"/>
    </row>
    <row r="159" spans="1:9" x14ac:dyDescent="0.25">
      <c r="A159" s="25"/>
      <c r="B159" s="25"/>
      <c r="C159" s="25"/>
      <c r="D159" s="25"/>
      <c r="E159" s="25"/>
      <c r="F159" s="26"/>
      <c r="G159" s="27"/>
      <c r="H159" s="27"/>
      <c r="I159" s="25"/>
    </row>
    <row r="160" spans="1:9" x14ac:dyDescent="0.25">
      <c r="A160" s="25"/>
      <c r="B160" s="25"/>
      <c r="C160" s="25"/>
      <c r="D160" s="25"/>
      <c r="E160" s="25"/>
      <c r="F160" s="26"/>
      <c r="G160" s="27"/>
      <c r="H160" s="27"/>
      <c r="I160" s="25"/>
    </row>
    <row r="161" spans="1:9" x14ac:dyDescent="0.25">
      <c r="A161" s="25"/>
      <c r="B161" s="25"/>
      <c r="C161" s="25"/>
      <c r="D161" s="25"/>
      <c r="E161" s="25"/>
      <c r="F161" s="26"/>
      <c r="G161" s="27"/>
      <c r="H161" s="27"/>
      <c r="I161" s="25"/>
    </row>
    <row r="162" spans="1:9" x14ac:dyDescent="0.25">
      <c r="A162" s="25"/>
      <c r="B162" s="25"/>
      <c r="C162" s="25"/>
      <c r="D162" s="25"/>
      <c r="E162" s="25"/>
      <c r="F162" s="26"/>
      <c r="G162" s="27"/>
      <c r="H162" s="27"/>
      <c r="I162" s="25"/>
    </row>
    <row r="163" spans="1:9" x14ac:dyDescent="0.25">
      <c r="A163" s="25"/>
      <c r="B163" s="25"/>
      <c r="C163" s="25"/>
      <c r="D163" s="25"/>
      <c r="E163" s="25"/>
      <c r="F163" s="26"/>
      <c r="G163" s="27"/>
      <c r="H163" s="27"/>
      <c r="I163" s="25"/>
    </row>
    <row r="164" spans="1:9" x14ac:dyDescent="0.25">
      <c r="A164" s="25"/>
      <c r="B164" s="25"/>
      <c r="C164" s="25"/>
      <c r="D164" s="25"/>
      <c r="E164" s="25"/>
      <c r="F164" s="26"/>
      <c r="G164" s="27"/>
      <c r="H164" s="27"/>
      <c r="I164" s="25"/>
    </row>
    <row r="165" spans="1:9" x14ac:dyDescent="0.25">
      <c r="A165" s="25"/>
      <c r="B165" s="25"/>
      <c r="C165" s="25"/>
      <c r="D165" s="25"/>
      <c r="E165" s="25"/>
      <c r="F165" s="26"/>
      <c r="G165" s="27"/>
      <c r="H165" s="27"/>
      <c r="I165" s="25"/>
    </row>
    <row r="166" spans="1:9" x14ac:dyDescent="0.25">
      <c r="A166" s="25"/>
      <c r="B166" s="25"/>
      <c r="C166" s="25"/>
      <c r="D166" s="25"/>
      <c r="E166" s="25"/>
      <c r="F166" s="26"/>
      <c r="G166" s="27"/>
      <c r="H166" s="27"/>
      <c r="I166" s="25"/>
    </row>
    <row r="167" spans="1:9" x14ac:dyDescent="0.25">
      <c r="A167" s="25"/>
      <c r="B167" s="25"/>
      <c r="C167" s="25"/>
      <c r="D167" s="25"/>
      <c r="E167" s="25"/>
      <c r="F167" s="26"/>
      <c r="G167" s="27"/>
      <c r="H167" s="27"/>
      <c r="I167" s="25"/>
    </row>
    <row r="168" spans="1:9" x14ac:dyDescent="0.25">
      <c r="A168" s="25"/>
      <c r="B168" s="25"/>
      <c r="C168" s="25"/>
      <c r="D168" s="25"/>
      <c r="E168" s="25"/>
      <c r="F168" s="26"/>
      <c r="G168" s="27"/>
      <c r="H168" s="27"/>
      <c r="I168" s="25"/>
    </row>
    <row r="169" spans="1:9" x14ac:dyDescent="0.25">
      <c r="A169" s="25"/>
      <c r="B169" s="25"/>
      <c r="C169" s="25"/>
      <c r="D169" s="25"/>
      <c r="E169" s="25"/>
      <c r="F169" s="26"/>
      <c r="G169" s="27"/>
      <c r="H169" s="27"/>
      <c r="I169" s="25"/>
    </row>
    <row r="170" spans="1:9" x14ac:dyDescent="0.25">
      <c r="A170" s="25"/>
      <c r="B170" s="25"/>
      <c r="C170" s="25"/>
      <c r="D170" s="25"/>
      <c r="E170" s="25"/>
      <c r="F170" s="26"/>
      <c r="G170" s="27"/>
      <c r="H170" s="27"/>
      <c r="I170" s="25"/>
    </row>
    <row r="171" spans="1:9" x14ac:dyDescent="0.25">
      <c r="A171" s="25"/>
      <c r="B171" s="25"/>
      <c r="C171" s="25"/>
      <c r="D171" s="25"/>
      <c r="E171" s="25"/>
      <c r="F171" s="26"/>
      <c r="G171" s="27"/>
      <c r="H171" s="27"/>
      <c r="I171" s="25"/>
    </row>
    <row r="172" spans="1:9" x14ac:dyDescent="0.25">
      <c r="A172" s="25"/>
      <c r="B172" s="25"/>
      <c r="C172" s="25"/>
      <c r="D172" s="25"/>
      <c r="E172" s="25"/>
      <c r="F172" s="26"/>
      <c r="G172" s="27"/>
      <c r="H172" s="27"/>
      <c r="I172" s="25"/>
    </row>
    <row r="173" spans="1:9" x14ac:dyDescent="0.25">
      <c r="A173" s="25"/>
      <c r="B173" s="25"/>
      <c r="C173" s="25"/>
      <c r="D173" s="25"/>
      <c r="E173" s="25"/>
      <c r="F173" s="26"/>
      <c r="G173" s="27"/>
      <c r="H173" s="27"/>
      <c r="I173" s="25"/>
    </row>
    <row r="174" spans="1:9" x14ac:dyDescent="0.25">
      <c r="A174" s="25"/>
      <c r="B174" s="25"/>
      <c r="C174" s="25"/>
      <c r="D174" s="25"/>
      <c r="E174" s="25"/>
      <c r="F174" s="26"/>
      <c r="G174" s="27"/>
      <c r="H174" s="27"/>
      <c r="I174" s="25"/>
    </row>
    <row r="175" spans="1:9" x14ac:dyDescent="0.25">
      <c r="A175" s="25"/>
      <c r="B175" s="25"/>
      <c r="C175" s="25"/>
      <c r="D175" s="25"/>
      <c r="E175" s="25"/>
      <c r="F175" s="26"/>
      <c r="G175" s="27"/>
      <c r="H175" s="27"/>
      <c r="I175" s="25"/>
    </row>
    <row r="176" spans="1:9" x14ac:dyDescent="0.25">
      <c r="A176" s="25"/>
      <c r="B176" s="25"/>
      <c r="C176" s="25"/>
      <c r="D176" s="25"/>
      <c r="E176" s="25"/>
      <c r="F176" s="26"/>
      <c r="G176" s="27"/>
      <c r="H176" s="27"/>
      <c r="I176" s="25"/>
    </row>
    <row r="177" spans="1:9" x14ac:dyDescent="0.25">
      <c r="A177" s="25"/>
      <c r="B177" s="25"/>
      <c r="C177" s="25"/>
      <c r="D177" s="25"/>
      <c r="E177" s="25"/>
      <c r="F177" s="26"/>
      <c r="G177" s="27"/>
      <c r="H177" s="27"/>
      <c r="I177" s="25"/>
    </row>
    <row r="178" spans="1:9" x14ac:dyDescent="0.25">
      <c r="A178" s="25"/>
      <c r="B178" s="25"/>
      <c r="C178" s="25"/>
      <c r="D178" s="25"/>
      <c r="E178" s="25"/>
      <c r="F178" s="26"/>
      <c r="G178" s="27"/>
      <c r="H178" s="27"/>
      <c r="I178" s="25"/>
    </row>
    <row r="179" spans="1:9" x14ac:dyDescent="0.25">
      <c r="A179" s="25"/>
      <c r="B179" s="25"/>
      <c r="C179" s="25"/>
      <c r="D179" s="25"/>
      <c r="E179" s="25"/>
      <c r="F179" s="26"/>
      <c r="G179" s="27"/>
      <c r="H179" s="27"/>
      <c r="I179" s="25"/>
    </row>
    <row r="180" spans="1:9" x14ac:dyDescent="0.25">
      <c r="A180" s="25"/>
      <c r="B180" s="25"/>
      <c r="C180" s="25"/>
      <c r="D180" s="25"/>
      <c r="E180" s="25"/>
      <c r="F180" s="26"/>
      <c r="G180" s="27"/>
      <c r="H180" s="27"/>
      <c r="I180" s="25"/>
    </row>
    <row r="181" spans="1:9" x14ac:dyDescent="0.25">
      <c r="A181" s="25"/>
      <c r="B181" s="25"/>
      <c r="C181" s="25"/>
      <c r="D181" s="25"/>
      <c r="E181" s="25"/>
      <c r="F181" s="26"/>
      <c r="G181" s="27"/>
      <c r="H181" s="27"/>
      <c r="I181" s="25"/>
    </row>
    <row r="182" spans="1:9" x14ac:dyDescent="0.25">
      <c r="A182" s="25"/>
      <c r="B182" s="25"/>
      <c r="C182" s="25"/>
      <c r="D182" s="25"/>
      <c r="E182" s="25"/>
      <c r="F182" s="26"/>
      <c r="G182" s="27"/>
      <c r="H182" s="27"/>
      <c r="I182" s="25"/>
    </row>
    <row r="183" spans="1:9" x14ac:dyDescent="0.25">
      <c r="A183" s="25"/>
      <c r="B183" s="25"/>
      <c r="C183" s="25"/>
      <c r="D183" s="25"/>
      <c r="E183" s="25"/>
      <c r="F183" s="26"/>
      <c r="G183" s="27"/>
      <c r="H183" s="27"/>
      <c r="I183" s="25"/>
    </row>
    <row r="184" spans="1:9" x14ac:dyDescent="0.25">
      <c r="A184" s="25"/>
      <c r="B184" s="25"/>
      <c r="C184" s="25"/>
      <c r="D184" s="25"/>
      <c r="E184" s="25"/>
      <c r="F184" s="26"/>
      <c r="G184" s="27"/>
      <c r="H184" s="27"/>
      <c r="I184" s="25"/>
    </row>
    <row r="185" spans="1:9" x14ac:dyDescent="0.25">
      <c r="A185" s="25"/>
      <c r="B185" s="25"/>
      <c r="C185" s="25"/>
      <c r="D185" s="25"/>
      <c r="E185" s="25"/>
      <c r="F185" s="26"/>
      <c r="G185" s="27"/>
      <c r="H185" s="27"/>
      <c r="I185" s="25"/>
    </row>
    <row r="186" spans="1:9" x14ac:dyDescent="0.25">
      <c r="A186" s="25"/>
      <c r="B186" s="25"/>
      <c r="C186" s="25"/>
      <c r="D186" s="25"/>
      <c r="E186" s="25"/>
      <c r="F186" s="26"/>
      <c r="G186" s="27"/>
      <c r="H186" s="27"/>
      <c r="I186" s="25"/>
    </row>
    <row r="187" spans="1:9" x14ac:dyDescent="0.25">
      <c r="A187" s="25"/>
      <c r="B187" s="25"/>
      <c r="C187" s="25"/>
      <c r="D187" s="25"/>
      <c r="E187" s="25"/>
      <c r="F187" s="26"/>
      <c r="G187" s="27"/>
      <c r="H187" s="27"/>
      <c r="I187" s="25"/>
    </row>
    <row r="188" spans="1:9" x14ac:dyDescent="0.25">
      <c r="A188" s="25"/>
      <c r="B188" s="25"/>
      <c r="C188" s="25"/>
      <c r="D188" s="25"/>
      <c r="E188" s="25"/>
      <c r="F188" s="26"/>
      <c r="G188" s="27"/>
      <c r="H188" s="27"/>
      <c r="I188" s="25"/>
    </row>
    <row r="189" spans="1:9" x14ac:dyDescent="0.25">
      <c r="A189" s="25"/>
      <c r="B189" s="25"/>
      <c r="C189" s="25"/>
      <c r="D189" s="25"/>
      <c r="E189" s="25"/>
      <c r="F189" s="26"/>
      <c r="G189" s="27"/>
      <c r="H189" s="27"/>
      <c r="I189" s="25"/>
    </row>
    <row r="190" spans="1:9" x14ac:dyDescent="0.25">
      <c r="A190" s="25"/>
      <c r="B190" s="25"/>
      <c r="C190" s="25"/>
      <c r="D190" s="25"/>
      <c r="E190" s="25"/>
      <c r="F190" s="26"/>
      <c r="G190" s="27"/>
      <c r="H190" s="27"/>
      <c r="I190" s="25"/>
    </row>
    <row r="191" spans="1:9" x14ac:dyDescent="0.25">
      <c r="A191" s="25"/>
      <c r="B191" s="25"/>
      <c r="C191" s="25"/>
      <c r="D191" s="25"/>
      <c r="E191" s="25"/>
      <c r="F191" s="26"/>
      <c r="G191" s="27"/>
      <c r="H191" s="27"/>
      <c r="I191" s="25"/>
    </row>
    <row r="192" spans="1:9" x14ac:dyDescent="0.25">
      <c r="A192" s="25"/>
      <c r="B192" s="25"/>
      <c r="C192" s="25"/>
      <c r="D192" s="25"/>
      <c r="E192" s="25"/>
      <c r="F192" s="26"/>
      <c r="G192" s="27"/>
      <c r="H192" s="27"/>
      <c r="I192" s="25"/>
    </row>
    <row r="193" spans="1:9" x14ac:dyDescent="0.25">
      <c r="A193" s="25"/>
      <c r="B193" s="25"/>
      <c r="C193" s="25"/>
      <c r="D193" s="25"/>
      <c r="E193" s="25"/>
      <c r="F193" s="26"/>
      <c r="G193" s="27"/>
      <c r="H193" s="27"/>
      <c r="I193" s="25"/>
    </row>
    <row r="194" spans="1:9" x14ac:dyDescent="0.25">
      <c r="A194" s="25"/>
      <c r="B194" s="25"/>
      <c r="C194" s="25"/>
      <c r="D194" s="25"/>
      <c r="E194" s="25"/>
      <c r="F194" s="26"/>
      <c r="G194" s="27"/>
      <c r="H194" s="27"/>
      <c r="I194" s="25"/>
    </row>
    <row r="195" spans="1:9" x14ac:dyDescent="0.25">
      <c r="A195" s="25"/>
      <c r="B195" s="25"/>
      <c r="C195" s="25"/>
      <c r="D195" s="25"/>
      <c r="E195" s="25"/>
      <c r="F195" s="26"/>
      <c r="G195" s="27"/>
      <c r="H195" s="27"/>
      <c r="I195" s="25"/>
    </row>
    <row r="196" spans="1:9" x14ac:dyDescent="0.25">
      <c r="A196" s="25"/>
      <c r="B196" s="25"/>
      <c r="C196" s="25"/>
      <c r="D196" s="25"/>
      <c r="E196" s="25"/>
      <c r="F196" s="26"/>
      <c r="G196" s="27"/>
      <c r="H196" s="27"/>
      <c r="I196" s="25"/>
    </row>
    <row r="197" spans="1:9" x14ac:dyDescent="0.25">
      <c r="A197" s="25"/>
      <c r="B197" s="25"/>
      <c r="C197" s="25"/>
      <c r="D197" s="25"/>
      <c r="E197" s="25"/>
      <c r="F197" s="26"/>
      <c r="G197" s="27"/>
      <c r="H197" s="27"/>
      <c r="I197" s="25"/>
    </row>
    <row r="198" spans="1:9" x14ac:dyDescent="0.25">
      <c r="A198" s="25"/>
      <c r="B198" s="25"/>
      <c r="C198" s="25"/>
      <c r="D198" s="25"/>
      <c r="E198" s="25"/>
      <c r="F198" s="26"/>
      <c r="G198" s="27"/>
      <c r="H198" s="27"/>
      <c r="I198" s="25"/>
    </row>
    <row r="199" spans="1:9" x14ac:dyDescent="0.25">
      <c r="A199" s="25"/>
      <c r="B199" s="25"/>
      <c r="C199" s="25"/>
      <c r="D199" s="25"/>
      <c r="E199" s="25"/>
      <c r="F199" s="26"/>
      <c r="G199" s="27"/>
      <c r="H199" s="27"/>
      <c r="I199" s="25"/>
    </row>
    <row r="200" spans="1:9" x14ac:dyDescent="0.25">
      <c r="A200" s="25"/>
      <c r="B200" s="25"/>
      <c r="C200" s="25"/>
      <c r="D200" s="25"/>
      <c r="E200" s="25"/>
      <c r="F200" s="26"/>
      <c r="G200" s="27"/>
      <c r="H200" s="27"/>
      <c r="I200" s="25"/>
    </row>
    <row r="201" spans="1:9" x14ac:dyDescent="0.25">
      <c r="A201" s="25"/>
      <c r="B201" s="25"/>
      <c r="C201" s="25"/>
      <c r="D201" s="25"/>
      <c r="E201" s="25"/>
      <c r="F201" s="26"/>
      <c r="G201" s="27"/>
      <c r="H201" s="27"/>
      <c r="I201" s="25"/>
    </row>
    <row r="202" spans="1:9" x14ac:dyDescent="0.25">
      <c r="A202" s="25"/>
      <c r="B202" s="25"/>
      <c r="C202" s="25"/>
      <c r="D202" s="25"/>
      <c r="E202" s="25"/>
      <c r="F202" s="26"/>
      <c r="G202" s="27"/>
      <c r="H202" s="27"/>
      <c r="I202" s="25"/>
    </row>
    <row r="203" spans="1:9" x14ac:dyDescent="0.25">
      <c r="A203" s="25"/>
      <c r="B203" s="25"/>
      <c r="C203" s="25"/>
      <c r="D203" s="25"/>
      <c r="E203" s="25"/>
      <c r="F203" s="26"/>
      <c r="G203" s="27"/>
      <c r="H203" s="27"/>
      <c r="I203" s="25"/>
    </row>
    <row r="204" spans="1:9" x14ac:dyDescent="0.25">
      <c r="A204" s="25"/>
      <c r="B204" s="25"/>
      <c r="C204" s="25"/>
      <c r="D204" s="25"/>
      <c r="E204" s="25"/>
      <c r="F204" s="26"/>
      <c r="G204" s="27"/>
      <c r="H204" s="27"/>
      <c r="I204" s="25"/>
    </row>
    <row r="205" spans="1:9" x14ac:dyDescent="0.25">
      <c r="A205" s="25"/>
      <c r="B205" s="25"/>
      <c r="C205" s="25"/>
      <c r="D205" s="25"/>
      <c r="E205" s="25"/>
      <c r="F205" s="26"/>
      <c r="G205" s="27"/>
      <c r="H205" s="27"/>
      <c r="I205" s="25"/>
    </row>
    <row r="206" spans="1:9" x14ac:dyDescent="0.25">
      <c r="A206" s="25"/>
      <c r="B206" s="25"/>
      <c r="C206" s="25"/>
      <c r="D206" s="25"/>
      <c r="E206" s="25"/>
      <c r="F206" s="26"/>
      <c r="G206" s="27"/>
      <c r="H206" s="27"/>
      <c r="I206" s="25"/>
    </row>
    <row r="207" spans="1:9" x14ac:dyDescent="0.25">
      <c r="A207" s="25"/>
      <c r="B207" s="25"/>
      <c r="C207" s="25"/>
      <c r="D207" s="25"/>
      <c r="E207" s="25"/>
      <c r="F207" s="26"/>
      <c r="G207" s="27"/>
      <c r="H207" s="27"/>
      <c r="I207" s="25"/>
    </row>
    <row r="208" spans="1:9" x14ac:dyDescent="0.25">
      <c r="A208" s="25"/>
      <c r="B208" s="25"/>
      <c r="C208" s="25"/>
      <c r="D208" s="25"/>
      <c r="E208" s="25"/>
      <c r="F208" s="26"/>
      <c r="G208" s="27"/>
      <c r="H208" s="27"/>
      <c r="I208" s="25"/>
    </row>
    <row r="209" spans="1:9" x14ac:dyDescent="0.25">
      <c r="A209" s="25"/>
      <c r="B209" s="25"/>
      <c r="C209" s="25"/>
      <c r="D209" s="25"/>
      <c r="E209" s="25"/>
      <c r="F209" s="26"/>
      <c r="G209" s="27"/>
      <c r="H209" s="27"/>
      <c r="I209" s="25"/>
    </row>
    <row r="210" spans="1:9" x14ac:dyDescent="0.25">
      <c r="A210" s="25"/>
      <c r="B210" s="25"/>
      <c r="C210" s="25"/>
      <c r="D210" s="25"/>
      <c r="E210" s="25"/>
      <c r="F210" s="26"/>
      <c r="G210" s="27"/>
      <c r="H210" s="27"/>
      <c r="I210" s="25"/>
    </row>
    <row r="211" spans="1:9" x14ac:dyDescent="0.25">
      <c r="A211" s="25"/>
      <c r="B211" s="25"/>
      <c r="C211" s="25"/>
      <c r="D211" s="25"/>
      <c r="E211" s="25"/>
      <c r="F211" s="26"/>
      <c r="G211" s="27"/>
      <c r="H211" s="27"/>
      <c r="I211" s="25"/>
    </row>
    <row r="212" spans="1:9" x14ac:dyDescent="0.25">
      <c r="A212" s="25"/>
      <c r="B212" s="25"/>
      <c r="C212" s="25"/>
      <c r="D212" s="25"/>
      <c r="E212" s="25"/>
      <c r="F212" s="26"/>
      <c r="G212" s="27"/>
      <c r="H212" s="27"/>
      <c r="I212" s="25"/>
    </row>
    <row r="213" spans="1:9" x14ac:dyDescent="0.25">
      <c r="A213" s="25"/>
      <c r="B213" s="25"/>
      <c r="C213" s="25"/>
      <c r="D213" s="25"/>
      <c r="E213" s="25"/>
      <c r="F213" s="26"/>
      <c r="G213" s="27"/>
      <c r="H213" s="27"/>
      <c r="I213" s="25"/>
    </row>
    <row r="214" spans="1:9" x14ac:dyDescent="0.25">
      <c r="A214" s="25"/>
      <c r="B214" s="25"/>
      <c r="C214" s="25"/>
      <c r="D214" s="25"/>
      <c r="E214" s="25"/>
      <c r="F214" s="26"/>
      <c r="G214" s="27"/>
      <c r="H214" s="27"/>
      <c r="I214" s="25"/>
    </row>
    <row r="215" spans="1:9" x14ac:dyDescent="0.25">
      <c r="A215" s="25"/>
      <c r="B215" s="25"/>
      <c r="C215" s="25"/>
      <c r="D215" s="25"/>
      <c r="E215" s="25"/>
      <c r="F215" s="26"/>
      <c r="G215" s="27"/>
      <c r="H215" s="27"/>
      <c r="I215" s="25"/>
    </row>
    <row r="216" spans="1:9" x14ac:dyDescent="0.25">
      <c r="A216" s="25"/>
      <c r="B216" s="25"/>
      <c r="C216" s="25"/>
      <c r="D216" s="25"/>
      <c r="E216" s="25"/>
      <c r="F216" s="26"/>
      <c r="G216" s="27"/>
      <c r="H216" s="27"/>
      <c r="I216" s="25"/>
    </row>
    <row r="217" spans="1:9" x14ac:dyDescent="0.25">
      <c r="A217" s="25"/>
      <c r="B217" s="25"/>
      <c r="C217" s="25"/>
      <c r="D217" s="25"/>
      <c r="E217" s="25"/>
      <c r="F217" s="26"/>
      <c r="G217" s="27"/>
      <c r="H217" s="27"/>
      <c r="I217" s="25"/>
    </row>
    <row r="218" spans="1:9" x14ac:dyDescent="0.25">
      <c r="A218" s="25"/>
      <c r="B218" s="25"/>
      <c r="C218" s="25"/>
      <c r="D218" s="25"/>
      <c r="E218" s="25"/>
      <c r="F218" s="26"/>
      <c r="G218" s="27"/>
      <c r="H218" s="27"/>
      <c r="I218" s="25"/>
    </row>
    <row r="219" spans="1:9" x14ac:dyDescent="0.25">
      <c r="A219" s="25"/>
      <c r="B219" s="25"/>
      <c r="C219" s="25"/>
      <c r="D219" s="25"/>
      <c r="E219" s="25"/>
      <c r="F219" s="26"/>
      <c r="G219" s="27"/>
      <c r="H219" s="27"/>
      <c r="I219" s="25"/>
    </row>
    <row r="220" spans="1:9" x14ac:dyDescent="0.25">
      <c r="A220" s="25"/>
      <c r="B220" s="25"/>
      <c r="C220" s="25"/>
      <c r="D220" s="25"/>
      <c r="E220" s="25"/>
      <c r="F220" s="26"/>
      <c r="G220" s="27"/>
      <c r="H220" s="27"/>
      <c r="I220" s="25"/>
    </row>
    <row r="221" spans="1:9" x14ac:dyDescent="0.25">
      <c r="A221" s="25"/>
      <c r="B221" s="25"/>
      <c r="C221" s="25"/>
      <c r="D221" s="25"/>
      <c r="E221" s="25"/>
      <c r="F221" s="26"/>
      <c r="G221" s="27"/>
      <c r="H221" s="27"/>
      <c r="I221" s="25"/>
    </row>
  </sheetData>
  <pageMargins left="0.511811024" right="0.511811024" top="0.78740157499999996" bottom="0.78740157499999996" header="0.31496062000000002" footer="0.31496062000000002"/>
  <pageSetup paperSize="9" scale="8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B22" sqref="B22"/>
    </sheetView>
  </sheetViews>
  <sheetFormatPr defaultRowHeight="15.75" x14ac:dyDescent="0.25"/>
  <cols>
    <col min="1" max="1" width="5.42578125" bestFit="1" customWidth="1"/>
    <col min="2" max="2" width="31.7109375" bestFit="1" customWidth="1"/>
    <col min="3" max="3" width="10.5703125" bestFit="1" customWidth="1"/>
    <col min="4" max="4" width="11.85546875" bestFit="1" customWidth="1"/>
    <col min="5" max="5" width="15.7109375" bestFit="1" customWidth="1"/>
    <col min="6" max="6" width="11.85546875" bestFit="1" customWidth="1"/>
    <col min="7" max="7" width="13.7109375" bestFit="1" customWidth="1"/>
    <col min="8" max="8" width="31.140625" style="1" customWidth="1"/>
  </cols>
  <sheetData>
    <row r="1" spans="1:8" x14ac:dyDescent="0.25">
      <c r="A1" s="30" t="s">
        <v>91</v>
      </c>
      <c r="B1" s="30" t="s">
        <v>92</v>
      </c>
      <c r="C1" s="30" t="s">
        <v>195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344</v>
      </c>
      <c r="C2" s="25" t="s">
        <v>234</v>
      </c>
      <c r="D2" s="25">
        <v>2</v>
      </c>
      <c r="E2" s="176">
        <v>97.99</v>
      </c>
      <c r="F2" s="27">
        <f>D2*E2</f>
        <v>195.98</v>
      </c>
      <c r="G2" s="27">
        <f>F2/12</f>
        <v>16.331666666666667</v>
      </c>
      <c r="H2" s="132" t="s">
        <v>153</v>
      </c>
    </row>
    <row r="3" spans="1:8" x14ac:dyDescent="0.25">
      <c r="A3" s="25">
        <v>2</v>
      </c>
      <c r="B3" s="25" t="s">
        <v>268</v>
      </c>
      <c r="C3" s="25" t="s">
        <v>269</v>
      </c>
      <c r="D3" s="25">
        <v>4</v>
      </c>
      <c r="E3" s="176">
        <v>75.98</v>
      </c>
      <c r="F3" s="27">
        <f t="shared" ref="F3:F20" si="0">D3*E3</f>
        <v>303.92</v>
      </c>
      <c r="G3" s="27">
        <f t="shared" ref="G3:G20" si="1">F3/12</f>
        <v>25.326666666666668</v>
      </c>
      <c r="H3" s="132" t="s">
        <v>153</v>
      </c>
    </row>
    <row r="4" spans="1:8" x14ac:dyDescent="0.25">
      <c r="A4" s="25">
        <v>3</v>
      </c>
      <c r="B4" s="25" t="s">
        <v>268</v>
      </c>
      <c r="C4" s="25" t="s">
        <v>269</v>
      </c>
      <c r="D4" s="25">
        <v>4</v>
      </c>
      <c r="E4" s="176">
        <v>75.98</v>
      </c>
      <c r="F4" s="27">
        <f t="shared" si="0"/>
        <v>303.92</v>
      </c>
      <c r="G4" s="27">
        <f t="shared" si="1"/>
        <v>25.326666666666668</v>
      </c>
      <c r="H4" s="132" t="s">
        <v>153</v>
      </c>
    </row>
    <row r="5" spans="1:8" x14ac:dyDescent="0.25">
      <c r="A5" s="25">
        <v>4</v>
      </c>
      <c r="B5" s="25" t="s">
        <v>267</v>
      </c>
      <c r="C5" s="25" t="s">
        <v>234</v>
      </c>
      <c r="D5" s="25">
        <v>2</v>
      </c>
      <c r="E5" s="176">
        <v>45.9</v>
      </c>
      <c r="F5" s="27">
        <f t="shared" si="0"/>
        <v>91.8</v>
      </c>
      <c r="G5" s="27">
        <f t="shared" si="1"/>
        <v>7.6499999999999995</v>
      </c>
      <c r="H5" s="132" t="s">
        <v>153</v>
      </c>
    </row>
    <row r="6" spans="1:8" x14ac:dyDescent="0.25">
      <c r="A6" s="25">
        <v>5</v>
      </c>
      <c r="B6" s="25" t="s">
        <v>345</v>
      </c>
      <c r="C6" s="25" t="s">
        <v>234</v>
      </c>
      <c r="D6" s="25">
        <v>12</v>
      </c>
      <c r="E6" s="176">
        <v>4.55</v>
      </c>
      <c r="F6" s="27">
        <f t="shared" ref="F6:F11" si="2">D6*E6</f>
        <v>54.599999999999994</v>
      </c>
      <c r="G6" s="27">
        <f t="shared" ref="G6:G11" si="3">F6/12</f>
        <v>4.55</v>
      </c>
      <c r="H6" s="132" t="s">
        <v>153</v>
      </c>
    </row>
    <row r="7" spans="1:8" x14ac:dyDescent="0.25">
      <c r="A7" s="25">
        <v>6</v>
      </c>
      <c r="B7" s="25" t="s">
        <v>344</v>
      </c>
      <c r="C7" s="25" t="s">
        <v>234</v>
      </c>
      <c r="D7" s="25">
        <v>2</v>
      </c>
      <c r="E7" s="176">
        <v>97.99</v>
      </c>
      <c r="F7" s="27">
        <f t="shared" si="2"/>
        <v>195.98</v>
      </c>
      <c r="G7" s="27">
        <f t="shared" si="3"/>
        <v>16.331666666666667</v>
      </c>
      <c r="H7" s="132" t="s">
        <v>213</v>
      </c>
    </row>
    <row r="8" spans="1:8" x14ac:dyDescent="0.25">
      <c r="A8" s="25">
        <v>7</v>
      </c>
      <c r="B8" s="25" t="s">
        <v>268</v>
      </c>
      <c r="C8" s="25" t="s">
        <v>269</v>
      </c>
      <c r="D8" s="25">
        <v>4</v>
      </c>
      <c r="E8" s="176">
        <v>75.98</v>
      </c>
      <c r="F8" s="27">
        <f t="shared" si="2"/>
        <v>303.92</v>
      </c>
      <c r="G8" s="27">
        <f t="shared" si="3"/>
        <v>25.326666666666668</v>
      </c>
      <c r="H8" s="132" t="s">
        <v>213</v>
      </c>
    </row>
    <row r="9" spans="1:8" x14ac:dyDescent="0.25">
      <c r="A9" s="25">
        <v>8</v>
      </c>
      <c r="B9" s="25" t="s">
        <v>268</v>
      </c>
      <c r="C9" s="25" t="s">
        <v>269</v>
      </c>
      <c r="D9" s="25">
        <v>4</v>
      </c>
      <c r="E9" s="176">
        <v>75.98</v>
      </c>
      <c r="F9" s="27">
        <f t="shared" si="2"/>
        <v>303.92</v>
      </c>
      <c r="G9" s="27">
        <f t="shared" si="3"/>
        <v>25.326666666666668</v>
      </c>
      <c r="H9" s="132" t="s">
        <v>213</v>
      </c>
    </row>
    <row r="10" spans="1:8" x14ac:dyDescent="0.25">
      <c r="A10" s="25">
        <v>9</v>
      </c>
      <c r="B10" s="25" t="s">
        <v>267</v>
      </c>
      <c r="C10" s="25" t="s">
        <v>234</v>
      </c>
      <c r="D10" s="25">
        <v>2</v>
      </c>
      <c r="E10" s="176">
        <v>45.9</v>
      </c>
      <c r="F10" s="27">
        <f t="shared" si="2"/>
        <v>91.8</v>
      </c>
      <c r="G10" s="27">
        <f t="shared" si="3"/>
        <v>7.6499999999999995</v>
      </c>
      <c r="H10" s="132" t="s">
        <v>213</v>
      </c>
    </row>
    <row r="11" spans="1:8" x14ac:dyDescent="0.25">
      <c r="A11" s="25">
        <v>10</v>
      </c>
      <c r="B11" s="25" t="s">
        <v>345</v>
      </c>
      <c r="C11" s="25" t="s">
        <v>234</v>
      </c>
      <c r="D11" s="25">
        <v>12</v>
      </c>
      <c r="E11" s="176">
        <v>4.55</v>
      </c>
      <c r="F11" s="27">
        <f t="shared" si="2"/>
        <v>54.599999999999994</v>
      </c>
      <c r="G11" s="27">
        <f t="shared" si="3"/>
        <v>4.55</v>
      </c>
      <c r="H11" s="132" t="s">
        <v>213</v>
      </c>
    </row>
    <row r="12" spans="1:8" x14ac:dyDescent="0.25">
      <c r="A12" s="25">
        <v>11</v>
      </c>
      <c r="B12" s="25" t="s">
        <v>346</v>
      </c>
      <c r="C12" s="25" t="s">
        <v>269</v>
      </c>
      <c r="D12" s="25">
        <v>1</v>
      </c>
      <c r="E12" s="176">
        <v>75.95</v>
      </c>
      <c r="F12" s="27">
        <f t="shared" si="0"/>
        <v>75.95</v>
      </c>
      <c r="G12" s="27">
        <f t="shared" si="1"/>
        <v>6.3291666666666666</v>
      </c>
      <c r="H12" s="132" t="s">
        <v>304</v>
      </c>
    </row>
    <row r="13" spans="1:8" x14ac:dyDescent="0.25">
      <c r="A13" s="25">
        <v>12</v>
      </c>
      <c r="B13" s="25" t="s">
        <v>347</v>
      </c>
      <c r="C13" s="25" t="s">
        <v>234</v>
      </c>
      <c r="D13" s="25">
        <v>1</v>
      </c>
      <c r="E13" s="176">
        <v>28.07</v>
      </c>
      <c r="F13" s="27">
        <f t="shared" si="0"/>
        <v>28.07</v>
      </c>
      <c r="G13" s="27">
        <f t="shared" si="1"/>
        <v>2.3391666666666668</v>
      </c>
      <c r="H13" s="132" t="s">
        <v>304</v>
      </c>
    </row>
    <row r="14" spans="1:8" x14ac:dyDescent="0.25">
      <c r="A14" s="25">
        <v>13</v>
      </c>
      <c r="B14" s="25" t="s">
        <v>348</v>
      </c>
      <c r="C14" s="25" t="s">
        <v>269</v>
      </c>
      <c r="D14" s="25">
        <v>1</v>
      </c>
      <c r="E14" s="176">
        <v>9.44</v>
      </c>
      <c r="F14" s="27">
        <f t="shared" si="0"/>
        <v>9.44</v>
      </c>
      <c r="G14" s="27">
        <f t="shared" si="1"/>
        <v>0.78666666666666663</v>
      </c>
      <c r="H14" s="132" t="s">
        <v>304</v>
      </c>
    </row>
    <row r="15" spans="1:8" x14ac:dyDescent="0.25">
      <c r="A15" s="25">
        <v>14</v>
      </c>
      <c r="B15" s="25" t="s">
        <v>349</v>
      </c>
      <c r="C15" s="25" t="s">
        <v>269</v>
      </c>
      <c r="D15" s="25">
        <v>1</v>
      </c>
      <c r="E15" s="176">
        <v>11.72</v>
      </c>
      <c r="F15" s="27">
        <f t="shared" si="0"/>
        <v>11.72</v>
      </c>
      <c r="G15" s="27">
        <f t="shared" si="1"/>
        <v>0.97666666666666668</v>
      </c>
      <c r="H15" s="132" t="s">
        <v>304</v>
      </c>
    </row>
    <row r="16" spans="1:8" x14ac:dyDescent="0.25">
      <c r="A16" s="25">
        <v>15</v>
      </c>
      <c r="B16" s="25" t="s">
        <v>350</v>
      </c>
      <c r="C16" s="25" t="s">
        <v>234</v>
      </c>
      <c r="D16" s="25">
        <v>1</v>
      </c>
      <c r="E16" s="176">
        <v>1.9</v>
      </c>
      <c r="F16" s="27">
        <f t="shared" si="0"/>
        <v>1.9</v>
      </c>
      <c r="G16" s="27">
        <f t="shared" si="1"/>
        <v>0.15833333333333333</v>
      </c>
      <c r="H16" s="132" t="s">
        <v>304</v>
      </c>
    </row>
    <row r="17" spans="1:8" x14ac:dyDescent="0.25">
      <c r="A17" s="25">
        <v>16</v>
      </c>
      <c r="B17" s="25" t="s">
        <v>351</v>
      </c>
      <c r="C17" s="25" t="s">
        <v>234</v>
      </c>
      <c r="D17" s="25">
        <v>1</v>
      </c>
      <c r="E17" s="176">
        <v>0.49</v>
      </c>
      <c r="F17" s="27">
        <f t="shared" si="0"/>
        <v>0.49</v>
      </c>
      <c r="G17" s="27">
        <f t="shared" si="1"/>
        <v>4.0833333333333333E-2</v>
      </c>
      <c r="H17" s="132" t="s">
        <v>304</v>
      </c>
    </row>
    <row r="18" spans="1:8" x14ac:dyDescent="0.25">
      <c r="A18" s="25">
        <v>17</v>
      </c>
      <c r="B18" s="25" t="s">
        <v>352</v>
      </c>
      <c r="C18" s="25" t="s">
        <v>234</v>
      </c>
      <c r="D18" s="25">
        <v>1</v>
      </c>
      <c r="E18" s="176">
        <v>2.9</v>
      </c>
      <c r="F18" s="27">
        <f t="shared" si="0"/>
        <v>2.9</v>
      </c>
      <c r="G18" s="27">
        <f t="shared" si="1"/>
        <v>0.24166666666666667</v>
      </c>
      <c r="H18" s="132" t="s">
        <v>304</v>
      </c>
    </row>
    <row r="19" spans="1:8" x14ac:dyDescent="0.25">
      <c r="A19" s="25">
        <v>18</v>
      </c>
      <c r="B19" s="25" t="s">
        <v>353</v>
      </c>
      <c r="C19" s="25" t="s">
        <v>269</v>
      </c>
      <c r="D19" s="25">
        <v>1</v>
      </c>
      <c r="E19" s="176">
        <v>38.56</v>
      </c>
      <c r="F19" s="27">
        <f t="shared" si="0"/>
        <v>38.56</v>
      </c>
      <c r="G19" s="27">
        <f t="shared" si="1"/>
        <v>3.2133333333333334</v>
      </c>
      <c r="H19" s="132" t="s">
        <v>304</v>
      </c>
    </row>
    <row r="20" spans="1:8" x14ac:dyDescent="0.25">
      <c r="A20" s="25">
        <v>19</v>
      </c>
      <c r="B20" s="25" t="s">
        <v>354</v>
      </c>
      <c r="C20" s="25" t="s">
        <v>234</v>
      </c>
      <c r="D20" s="25">
        <v>1</v>
      </c>
      <c r="E20" s="176">
        <v>38.56</v>
      </c>
      <c r="F20" s="27">
        <f t="shared" si="0"/>
        <v>38.56</v>
      </c>
      <c r="G20" s="27">
        <f t="shared" si="1"/>
        <v>3.2133333333333334</v>
      </c>
      <c r="H20" s="132" t="s">
        <v>304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opLeftCell="A49" zoomScaleNormal="100" zoomScaleSheetLayoutView="100" workbookViewId="0">
      <selection activeCell="G71" sqref="G71"/>
    </sheetView>
  </sheetViews>
  <sheetFormatPr defaultRowHeight="12.75" x14ac:dyDescent="0.2"/>
  <cols>
    <col min="1" max="1" width="10.85546875" style="123" customWidth="1"/>
    <col min="2" max="2" width="18.28515625" style="124" customWidth="1"/>
    <col min="3" max="3" width="18.85546875" style="123" customWidth="1"/>
    <col min="4" max="4" width="16.5703125" style="123" customWidth="1"/>
    <col min="5" max="5" width="18.28515625" style="123" customWidth="1"/>
    <col min="6" max="6" width="17.5703125" style="123" customWidth="1"/>
    <col min="7" max="7" width="19" style="99" customWidth="1"/>
    <col min="8" max="10" width="8.7109375" style="99"/>
    <col min="11" max="12" width="10.140625" style="99" bestFit="1" customWidth="1"/>
    <col min="13" max="256" width="8.7109375" style="99"/>
    <col min="257" max="257" width="10.85546875" style="99" customWidth="1"/>
    <col min="258" max="258" width="18.28515625" style="99" customWidth="1"/>
    <col min="259" max="259" width="18.85546875" style="99" customWidth="1"/>
    <col min="260" max="260" width="16.5703125" style="99" customWidth="1"/>
    <col min="261" max="261" width="18.28515625" style="99" customWidth="1"/>
    <col min="262" max="262" width="17.5703125" style="99" customWidth="1"/>
    <col min="263" max="263" width="19" style="99" customWidth="1"/>
    <col min="264" max="512" width="8.7109375" style="99"/>
    <col min="513" max="513" width="10.85546875" style="99" customWidth="1"/>
    <col min="514" max="514" width="18.28515625" style="99" customWidth="1"/>
    <col min="515" max="515" width="18.85546875" style="99" customWidth="1"/>
    <col min="516" max="516" width="16.5703125" style="99" customWidth="1"/>
    <col min="517" max="517" width="18.28515625" style="99" customWidth="1"/>
    <col min="518" max="518" width="17.5703125" style="99" customWidth="1"/>
    <col min="519" max="519" width="19" style="99" customWidth="1"/>
    <col min="520" max="768" width="8.7109375" style="99"/>
    <col min="769" max="769" width="10.85546875" style="99" customWidth="1"/>
    <col min="770" max="770" width="18.28515625" style="99" customWidth="1"/>
    <col min="771" max="771" width="18.85546875" style="99" customWidth="1"/>
    <col min="772" max="772" width="16.5703125" style="99" customWidth="1"/>
    <col min="773" max="773" width="18.28515625" style="99" customWidth="1"/>
    <col min="774" max="774" width="17.5703125" style="99" customWidth="1"/>
    <col min="775" max="775" width="19" style="99" customWidth="1"/>
    <col min="776" max="1024" width="8.7109375" style="99"/>
    <col min="1025" max="1025" width="10.85546875" style="99" customWidth="1"/>
    <col min="1026" max="1026" width="18.28515625" style="99" customWidth="1"/>
    <col min="1027" max="1027" width="18.85546875" style="99" customWidth="1"/>
    <col min="1028" max="1028" width="16.5703125" style="99" customWidth="1"/>
    <col min="1029" max="1029" width="18.28515625" style="99" customWidth="1"/>
    <col min="1030" max="1030" width="17.5703125" style="99" customWidth="1"/>
    <col min="1031" max="1031" width="19" style="99" customWidth="1"/>
    <col min="1032" max="1280" width="8.7109375" style="99"/>
    <col min="1281" max="1281" width="10.85546875" style="99" customWidth="1"/>
    <col min="1282" max="1282" width="18.28515625" style="99" customWidth="1"/>
    <col min="1283" max="1283" width="18.85546875" style="99" customWidth="1"/>
    <col min="1284" max="1284" width="16.5703125" style="99" customWidth="1"/>
    <col min="1285" max="1285" width="18.28515625" style="99" customWidth="1"/>
    <col min="1286" max="1286" width="17.5703125" style="99" customWidth="1"/>
    <col min="1287" max="1287" width="19" style="99" customWidth="1"/>
    <col min="1288" max="1536" width="8.7109375" style="99"/>
    <col min="1537" max="1537" width="10.85546875" style="99" customWidth="1"/>
    <col min="1538" max="1538" width="18.28515625" style="99" customWidth="1"/>
    <col min="1539" max="1539" width="18.85546875" style="99" customWidth="1"/>
    <col min="1540" max="1540" width="16.5703125" style="99" customWidth="1"/>
    <col min="1541" max="1541" width="18.28515625" style="99" customWidth="1"/>
    <col min="1542" max="1542" width="17.5703125" style="99" customWidth="1"/>
    <col min="1543" max="1543" width="19" style="99" customWidth="1"/>
    <col min="1544" max="1792" width="8.7109375" style="99"/>
    <col min="1793" max="1793" width="10.85546875" style="99" customWidth="1"/>
    <col min="1794" max="1794" width="18.28515625" style="99" customWidth="1"/>
    <col min="1795" max="1795" width="18.85546875" style="99" customWidth="1"/>
    <col min="1796" max="1796" width="16.5703125" style="99" customWidth="1"/>
    <col min="1797" max="1797" width="18.28515625" style="99" customWidth="1"/>
    <col min="1798" max="1798" width="17.5703125" style="99" customWidth="1"/>
    <col min="1799" max="1799" width="19" style="99" customWidth="1"/>
    <col min="1800" max="2048" width="8.7109375" style="99"/>
    <col min="2049" max="2049" width="10.85546875" style="99" customWidth="1"/>
    <col min="2050" max="2050" width="18.28515625" style="99" customWidth="1"/>
    <col min="2051" max="2051" width="18.85546875" style="99" customWidth="1"/>
    <col min="2052" max="2052" width="16.5703125" style="99" customWidth="1"/>
    <col min="2053" max="2053" width="18.28515625" style="99" customWidth="1"/>
    <col min="2054" max="2054" width="17.5703125" style="99" customWidth="1"/>
    <col min="2055" max="2055" width="19" style="99" customWidth="1"/>
    <col min="2056" max="2304" width="8.7109375" style="99"/>
    <col min="2305" max="2305" width="10.85546875" style="99" customWidth="1"/>
    <col min="2306" max="2306" width="18.28515625" style="99" customWidth="1"/>
    <col min="2307" max="2307" width="18.85546875" style="99" customWidth="1"/>
    <col min="2308" max="2308" width="16.5703125" style="99" customWidth="1"/>
    <col min="2309" max="2309" width="18.28515625" style="99" customWidth="1"/>
    <col min="2310" max="2310" width="17.5703125" style="99" customWidth="1"/>
    <col min="2311" max="2311" width="19" style="99" customWidth="1"/>
    <col min="2312" max="2560" width="8.7109375" style="99"/>
    <col min="2561" max="2561" width="10.85546875" style="99" customWidth="1"/>
    <col min="2562" max="2562" width="18.28515625" style="99" customWidth="1"/>
    <col min="2563" max="2563" width="18.85546875" style="99" customWidth="1"/>
    <col min="2564" max="2564" width="16.5703125" style="99" customWidth="1"/>
    <col min="2565" max="2565" width="18.28515625" style="99" customWidth="1"/>
    <col min="2566" max="2566" width="17.5703125" style="99" customWidth="1"/>
    <col min="2567" max="2567" width="19" style="99" customWidth="1"/>
    <col min="2568" max="2816" width="8.7109375" style="99"/>
    <col min="2817" max="2817" width="10.85546875" style="99" customWidth="1"/>
    <col min="2818" max="2818" width="18.28515625" style="99" customWidth="1"/>
    <col min="2819" max="2819" width="18.85546875" style="99" customWidth="1"/>
    <col min="2820" max="2820" width="16.5703125" style="99" customWidth="1"/>
    <col min="2821" max="2821" width="18.28515625" style="99" customWidth="1"/>
    <col min="2822" max="2822" width="17.5703125" style="99" customWidth="1"/>
    <col min="2823" max="2823" width="19" style="99" customWidth="1"/>
    <col min="2824" max="3072" width="8.7109375" style="99"/>
    <col min="3073" max="3073" width="10.85546875" style="99" customWidth="1"/>
    <col min="3074" max="3074" width="18.28515625" style="99" customWidth="1"/>
    <col min="3075" max="3075" width="18.85546875" style="99" customWidth="1"/>
    <col min="3076" max="3076" width="16.5703125" style="99" customWidth="1"/>
    <col min="3077" max="3077" width="18.28515625" style="99" customWidth="1"/>
    <col min="3078" max="3078" width="17.5703125" style="99" customWidth="1"/>
    <col min="3079" max="3079" width="19" style="99" customWidth="1"/>
    <col min="3080" max="3328" width="8.7109375" style="99"/>
    <col min="3329" max="3329" width="10.85546875" style="99" customWidth="1"/>
    <col min="3330" max="3330" width="18.28515625" style="99" customWidth="1"/>
    <col min="3331" max="3331" width="18.85546875" style="99" customWidth="1"/>
    <col min="3332" max="3332" width="16.5703125" style="99" customWidth="1"/>
    <col min="3333" max="3333" width="18.28515625" style="99" customWidth="1"/>
    <col min="3334" max="3334" width="17.5703125" style="99" customWidth="1"/>
    <col min="3335" max="3335" width="19" style="99" customWidth="1"/>
    <col min="3336" max="3584" width="8.7109375" style="99"/>
    <col min="3585" max="3585" width="10.85546875" style="99" customWidth="1"/>
    <col min="3586" max="3586" width="18.28515625" style="99" customWidth="1"/>
    <col min="3587" max="3587" width="18.85546875" style="99" customWidth="1"/>
    <col min="3588" max="3588" width="16.5703125" style="99" customWidth="1"/>
    <col min="3589" max="3589" width="18.28515625" style="99" customWidth="1"/>
    <col min="3590" max="3590" width="17.5703125" style="99" customWidth="1"/>
    <col min="3591" max="3591" width="19" style="99" customWidth="1"/>
    <col min="3592" max="3840" width="8.7109375" style="99"/>
    <col min="3841" max="3841" width="10.85546875" style="99" customWidth="1"/>
    <col min="3842" max="3842" width="18.28515625" style="99" customWidth="1"/>
    <col min="3843" max="3843" width="18.85546875" style="99" customWidth="1"/>
    <col min="3844" max="3844" width="16.5703125" style="99" customWidth="1"/>
    <col min="3845" max="3845" width="18.28515625" style="99" customWidth="1"/>
    <col min="3846" max="3846" width="17.5703125" style="99" customWidth="1"/>
    <col min="3847" max="3847" width="19" style="99" customWidth="1"/>
    <col min="3848" max="4096" width="8.7109375" style="99"/>
    <col min="4097" max="4097" width="10.85546875" style="99" customWidth="1"/>
    <col min="4098" max="4098" width="18.28515625" style="99" customWidth="1"/>
    <col min="4099" max="4099" width="18.85546875" style="99" customWidth="1"/>
    <col min="4100" max="4100" width="16.5703125" style="99" customWidth="1"/>
    <col min="4101" max="4101" width="18.28515625" style="99" customWidth="1"/>
    <col min="4102" max="4102" width="17.5703125" style="99" customWidth="1"/>
    <col min="4103" max="4103" width="19" style="99" customWidth="1"/>
    <col min="4104" max="4352" width="8.7109375" style="99"/>
    <col min="4353" max="4353" width="10.85546875" style="99" customWidth="1"/>
    <col min="4354" max="4354" width="18.28515625" style="99" customWidth="1"/>
    <col min="4355" max="4355" width="18.85546875" style="99" customWidth="1"/>
    <col min="4356" max="4356" width="16.5703125" style="99" customWidth="1"/>
    <col min="4357" max="4357" width="18.28515625" style="99" customWidth="1"/>
    <col min="4358" max="4358" width="17.5703125" style="99" customWidth="1"/>
    <col min="4359" max="4359" width="19" style="99" customWidth="1"/>
    <col min="4360" max="4608" width="8.7109375" style="99"/>
    <col min="4609" max="4609" width="10.85546875" style="99" customWidth="1"/>
    <col min="4610" max="4610" width="18.28515625" style="99" customWidth="1"/>
    <col min="4611" max="4611" width="18.85546875" style="99" customWidth="1"/>
    <col min="4612" max="4612" width="16.5703125" style="99" customWidth="1"/>
    <col min="4613" max="4613" width="18.28515625" style="99" customWidth="1"/>
    <col min="4614" max="4614" width="17.5703125" style="99" customWidth="1"/>
    <col min="4615" max="4615" width="19" style="99" customWidth="1"/>
    <col min="4616" max="4864" width="8.7109375" style="99"/>
    <col min="4865" max="4865" width="10.85546875" style="99" customWidth="1"/>
    <col min="4866" max="4866" width="18.28515625" style="99" customWidth="1"/>
    <col min="4867" max="4867" width="18.85546875" style="99" customWidth="1"/>
    <col min="4868" max="4868" width="16.5703125" style="99" customWidth="1"/>
    <col min="4869" max="4869" width="18.28515625" style="99" customWidth="1"/>
    <col min="4870" max="4870" width="17.5703125" style="99" customWidth="1"/>
    <col min="4871" max="4871" width="19" style="99" customWidth="1"/>
    <col min="4872" max="5120" width="8.7109375" style="99"/>
    <col min="5121" max="5121" width="10.85546875" style="99" customWidth="1"/>
    <col min="5122" max="5122" width="18.28515625" style="99" customWidth="1"/>
    <col min="5123" max="5123" width="18.85546875" style="99" customWidth="1"/>
    <col min="5124" max="5124" width="16.5703125" style="99" customWidth="1"/>
    <col min="5125" max="5125" width="18.28515625" style="99" customWidth="1"/>
    <col min="5126" max="5126" width="17.5703125" style="99" customWidth="1"/>
    <col min="5127" max="5127" width="19" style="99" customWidth="1"/>
    <col min="5128" max="5376" width="8.7109375" style="99"/>
    <col min="5377" max="5377" width="10.85546875" style="99" customWidth="1"/>
    <col min="5378" max="5378" width="18.28515625" style="99" customWidth="1"/>
    <col min="5379" max="5379" width="18.85546875" style="99" customWidth="1"/>
    <col min="5380" max="5380" width="16.5703125" style="99" customWidth="1"/>
    <col min="5381" max="5381" width="18.28515625" style="99" customWidth="1"/>
    <col min="5382" max="5382" width="17.5703125" style="99" customWidth="1"/>
    <col min="5383" max="5383" width="19" style="99" customWidth="1"/>
    <col min="5384" max="5632" width="8.7109375" style="99"/>
    <col min="5633" max="5633" width="10.85546875" style="99" customWidth="1"/>
    <col min="5634" max="5634" width="18.28515625" style="99" customWidth="1"/>
    <col min="5635" max="5635" width="18.85546875" style="99" customWidth="1"/>
    <col min="5636" max="5636" width="16.5703125" style="99" customWidth="1"/>
    <col min="5637" max="5637" width="18.28515625" style="99" customWidth="1"/>
    <col min="5638" max="5638" width="17.5703125" style="99" customWidth="1"/>
    <col min="5639" max="5639" width="19" style="99" customWidth="1"/>
    <col min="5640" max="5888" width="8.7109375" style="99"/>
    <col min="5889" max="5889" width="10.85546875" style="99" customWidth="1"/>
    <col min="5890" max="5890" width="18.28515625" style="99" customWidth="1"/>
    <col min="5891" max="5891" width="18.85546875" style="99" customWidth="1"/>
    <col min="5892" max="5892" width="16.5703125" style="99" customWidth="1"/>
    <col min="5893" max="5893" width="18.28515625" style="99" customWidth="1"/>
    <col min="5894" max="5894" width="17.5703125" style="99" customWidth="1"/>
    <col min="5895" max="5895" width="19" style="99" customWidth="1"/>
    <col min="5896" max="6144" width="8.7109375" style="99"/>
    <col min="6145" max="6145" width="10.85546875" style="99" customWidth="1"/>
    <col min="6146" max="6146" width="18.28515625" style="99" customWidth="1"/>
    <col min="6147" max="6147" width="18.85546875" style="99" customWidth="1"/>
    <col min="6148" max="6148" width="16.5703125" style="99" customWidth="1"/>
    <col min="6149" max="6149" width="18.28515625" style="99" customWidth="1"/>
    <col min="6150" max="6150" width="17.5703125" style="99" customWidth="1"/>
    <col min="6151" max="6151" width="19" style="99" customWidth="1"/>
    <col min="6152" max="6400" width="8.7109375" style="99"/>
    <col min="6401" max="6401" width="10.85546875" style="99" customWidth="1"/>
    <col min="6402" max="6402" width="18.28515625" style="99" customWidth="1"/>
    <col min="6403" max="6403" width="18.85546875" style="99" customWidth="1"/>
    <col min="6404" max="6404" width="16.5703125" style="99" customWidth="1"/>
    <col min="6405" max="6405" width="18.28515625" style="99" customWidth="1"/>
    <col min="6406" max="6406" width="17.5703125" style="99" customWidth="1"/>
    <col min="6407" max="6407" width="19" style="99" customWidth="1"/>
    <col min="6408" max="6656" width="8.7109375" style="99"/>
    <col min="6657" max="6657" width="10.85546875" style="99" customWidth="1"/>
    <col min="6658" max="6658" width="18.28515625" style="99" customWidth="1"/>
    <col min="6659" max="6659" width="18.85546875" style="99" customWidth="1"/>
    <col min="6660" max="6660" width="16.5703125" style="99" customWidth="1"/>
    <col min="6661" max="6661" width="18.28515625" style="99" customWidth="1"/>
    <col min="6662" max="6662" width="17.5703125" style="99" customWidth="1"/>
    <col min="6663" max="6663" width="19" style="99" customWidth="1"/>
    <col min="6664" max="6912" width="8.7109375" style="99"/>
    <col min="6913" max="6913" width="10.85546875" style="99" customWidth="1"/>
    <col min="6914" max="6914" width="18.28515625" style="99" customWidth="1"/>
    <col min="6915" max="6915" width="18.85546875" style="99" customWidth="1"/>
    <col min="6916" max="6916" width="16.5703125" style="99" customWidth="1"/>
    <col min="6917" max="6917" width="18.28515625" style="99" customWidth="1"/>
    <col min="6918" max="6918" width="17.5703125" style="99" customWidth="1"/>
    <col min="6919" max="6919" width="19" style="99" customWidth="1"/>
    <col min="6920" max="7168" width="8.7109375" style="99"/>
    <col min="7169" max="7169" width="10.85546875" style="99" customWidth="1"/>
    <col min="7170" max="7170" width="18.28515625" style="99" customWidth="1"/>
    <col min="7171" max="7171" width="18.85546875" style="99" customWidth="1"/>
    <col min="7172" max="7172" width="16.5703125" style="99" customWidth="1"/>
    <col min="7173" max="7173" width="18.28515625" style="99" customWidth="1"/>
    <col min="7174" max="7174" width="17.5703125" style="99" customWidth="1"/>
    <col min="7175" max="7175" width="19" style="99" customWidth="1"/>
    <col min="7176" max="7424" width="8.7109375" style="99"/>
    <col min="7425" max="7425" width="10.85546875" style="99" customWidth="1"/>
    <col min="7426" max="7426" width="18.28515625" style="99" customWidth="1"/>
    <col min="7427" max="7427" width="18.85546875" style="99" customWidth="1"/>
    <col min="7428" max="7428" width="16.5703125" style="99" customWidth="1"/>
    <col min="7429" max="7429" width="18.28515625" style="99" customWidth="1"/>
    <col min="7430" max="7430" width="17.5703125" style="99" customWidth="1"/>
    <col min="7431" max="7431" width="19" style="99" customWidth="1"/>
    <col min="7432" max="7680" width="8.7109375" style="99"/>
    <col min="7681" max="7681" width="10.85546875" style="99" customWidth="1"/>
    <col min="7682" max="7682" width="18.28515625" style="99" customWidth="1"/>
    <col min="7683" max="7683" width="18.85546875" style="99" customWidth="1"/>
    <col min="7684" max="7684" width="16.5703125" style="99" customWidth="1"/>
    <col min="7685" max="7685" width="18.28515625" style="99" customWidth="1"/>
    <col min="7686" max="7686" width="17.5703125" style="99" customWidth="1"/>
    <col min="7687" max="7687" width="19" style="99" customWidth="1"/>
    <col min="7688" max="7936" width="8.7109375" style="99"/>
    <col min="7937" max="7937" width="10.85546875" style="99" customWidth="1"/>
    <col min="7938" max="7938" width="18.28515625" style="99" customWidth="1"/>
    <col min="7939" max="7939" width="18.85546875" style="99" customWidth="1"/>
    <col min="7940" max="7940" width="16.5703125" style="99" customWidth="1"/>
    <col min="7941" max="7941" width="18.28515625" style="99" customWidth="1"/>
    <col min="7942" max="7942" width="17.5703125" style="99" customWidth="1"/>
    <col min="7943" max="7943" width="19" style="99" customWidth="1"/>
    <col min="7944" max="8192" width="8.7109375" style="99"/>
    <col min="8193" max="8193" width="10.85546875" style="99" customWidth="1"/>
    <col min="8194" max="8194" width="18.28515625" style="99" customWidth="1"/>
    <col min="8195" max="8195" width="18.85546875" style="99" customWidth="1"/>
    <col min="8196" max="8196" width="16.5703125" style="99" customWidth="1"/>
    <col min="8197" max="8197" width="18.28515625" style="99" customWidth="1"/>
    <col min="8198" max="8198" width="17.5703125" style="99" customWidth="1"/>
    <col min="8199" max="8199" width="19" style="99" customWidth="1"/>
    <col min="8200" max="8448" width="8.7109375" style="99"/>
    <col min="8449" max="8449" width="10.85546875" style="99" customWidth="1"/>
    <col min="8450" max="8450" width="18.28515625" style="99" customWidth="1"/>
    <col min="8451" max="8451" width="18.85546875" style="99" customWidth="1"/>
    <col min="8452" max="8452" width="16.5703125" style="99" customWidth="1"/>
    <col min="8453" max="8453" width="18.28515625" style="99" customWidth="1"/>
    <col min="8454" max="8454" width="17.5703125" style="99" customWidth="1"/>
    <col min="8455" max="8455" width="19" style="99" customWidth="1"/>
    <col min="8456" max="8704" width="8.7109375" style="99"/>
    <col min="8705" max="8705" width="10.85546875" style="99" customWidth="1"/>
    <col min="8706" max="8706" width="18.28515625" style="99" customWidth="1"/>
    <col min="8707" max="8707" width="18.85546875" style="99" customWidth="1"/>
    <col min="8708" max="8708" width="16.5703125" style="99" customWidth="1"/>
    <col min="8709" max="8709" width="18.28515625" style="99" customWidth="1"/>
    <col min="8710" max="8710" width="17.5703125" style="99" customWidth="1"/>
    <col min="8711" max="8711" width="19" style="99" customWidth="1"/>
    <col min="8712" max="8960" width="8.7109375" style="99"/>
    <col min="8961" max="8961" width="10.85546875" style="99" customWidth="1"/>
    <col min="8962" max="8962" width="18.28515625" style="99" customWidth="1"/>
    <col min="8963" max="8963" width="18.85546875" style="99" customWidth="1"/>
    <col min="8964" max="8964" width="16.5703125" style="99" customWidth="1"/>
    <col min="8965" max="8965" width="18.28515625" style="99" customWidth="1"/>
    <col min="8966" max="8966" width="17.5703125" style="99" customWidth="1"/>
    <col min="8967" max="8967" width="19" style="99" customWidth="1"/>
    <col min="8968" max="9216" width="8.7109375" style="99"/>
    <col min="9217" max="9217" width="10.85546875" style="99" customWidth="1"/>
    <col min="9218" max="9218" width="18.28515625" style="99" customWidth="1"/>
    <col min="9219" max="9219" width="18.85546875" style="99" customWidth="1"/>
    <col min="9220" max="9220" width="16.5703125" style="99" customWidth="1"/>
    <col min="9221" max="9221" width="18.28515625" style="99" customWidth="1"/>
    <col min="9222" max="9222" width="17.5703125" style="99" customWidth="1"/>
    <col min="9223" max="9223" width="19" style="99" customWidth="1"/>
    <col min="9224" max="9472" width="8.7109375" style="99"/>
    <col min="9473" max="9473" width="10.85546875" style="99" customWidth="1"/>
    <col min="9474" max="9474" width="18.28515625" style="99" customWidth="1"/>
    <col min="9475" max="9475" width="18.85546875" style="99" customWidth="1"/>
    <col min="9476" max="9476" width="16.5703125" style="99" customWidth="1"/>
    <col min="9477" max="9477" width="18.28515625" style="99" customWidth="1"/>
    <col min="9478" max="9478" width="17.5703125" style="99" customWidth="1"/>
    <col min="9479" max="9479" width="19" style="99" customWidth="1"/>
    <col min="9480" max="9728" width="8.7109375" style="99"/>
    <col min="9729" max="9729" width="10.85546875" style="99" customWidth="1"/>
    <col min="9730" max="9730" width="18.28515625" style="99" customWidth="1"/>
    <col min="9731" max="9731" width="18.85546875" style="99" customWidth="1"/>
    <col min="9732" max="9732" width="16.5703125" style="99" customWidth="1"/>
    <col min="9733" max="9733" width="18.28515625" style="99" customWidth="1"/>
    <col min="9734" max="9734" width="17.5703125" style="99" customWidth="1"/>
    <col min="9735" max="9735" width="19" style="99" customWidth="1"/>
    <col min="9736" max="9984" width="8.7109375" style="99"/>
    <col min="9985" max="9985" width="10.85546875" style="99" customWidth="1"/>
    <col min="9986" max="9986" width="18.28515625" style="99" customWidth="1"/>
    <col min="9987" max="9987" width="18.85546875" style="99" customWidth="1"/>
    <col min="9988" max="9988" width="16.5703125" style="99" customWidth="1"/>
    <col min="9989" max="9989" width="18.28515625" style="99" customWidth="1"/>
    <col min="9990" max="9990" width="17.5703125" style="99" customWidth="1"/>
    <col min="9991" max="9991" width="19" style="99" customWidth="1"/>
    <col min="9992" max="10240" width="8.7109375" style="99"/>
    <col min="10241" max="10241" width="10.85546875" style="99" customWidth="1"/>
    <col min="10242" max="10242" width="18.28515625" style="99" customWidth="1"/>
    <col min="10243" max="10243" width="18.85546875" style="99" customWidth="1"/>
    <col min="10244" max="10244" width="16.5703125" style="99" customWidth="1"/>
    <col min="10245" max="10245" width="18.28515625" style="99" customWidth="1"/>
    <col min="10246" max="10246" width="17.5703125" style="99" customWidth="1"/>
    <col min="10247" max="10247" width="19" style="99" customWidth="1"/>
    <col min="10248" max="10496" width="8.7109375" style="99"/>
    <col min="10497" max="10497" width="10.85546875" style="99" customWidth="1"/>
    <col min="10498" max="10498" width="18.28515625" style="99" customWidth="1"/>
    <col min="10499" max="10499" width="18.85546875" style="99" customWidth="1"/>
    <col min="10500" max="10500" width="16.5703125" style="99" customWidth="1"/>
    <col min="10501" max="10501" width="18.28515625" style="99" customWidth="1"/>
    <col min="10502" max="10502" width="17.5703125" style="99" customWidth="1"/>
    <col min="10503" max="10503" width="19" style="99" customWidth="1"/>
    <col min="10504" max="10752" width="8.7109375" style="99"/>
    <col min="10753" max="10753" width="10.85546875" style="99" customWidth="1"/>
    <col min="10754" max="10754" width="18.28515625" style="99" customWidth="1"/>
    <col min="10755" max="10755" width="18.85546875" style="99" customWidth="1"/>
    <col min="10756" max="10756" width="16.5703125" style="99" customWidth="1"/>
    <col min="10757" max="10757" width="18.28515625" style="99" customWidth="1"/>
    <col min="10758" max="10758" width="17.5703125" style="99" customWidth="1"/>
    <col min="10759" max="10759" width="19" style="99" customWidth="1"/>
    <col min="10760" max="11008" width="8.7109375" style="99"/>
    <col min="11009" max="11009" width="10.85546875" style="99" customWidth="1"/>
    <col min="11010" max="11010" width="18.28515625" style="99" customWidth="1"/>
    <col min="11011" max="11011" width="18.85546875" style="99" customWidth="1"/>
    <col min="11012" max="11012" width="16.5703125" style="99" customWidth="1"/>
    <col min="11013" max="11013" width="18.28515625" style="99" customWidth="1"/>
    <col min="11014" max="11014" width="17.5703125" style="99" customWidth="1"/>
    <col min="11015" max="11015" width="19" style="99" customWidth="1"/>
    <col min="11016" max="11264" width="8.7109375" style="99"/>
    <col min="11265" max="11265" width="10.85546875" style="99" customWidth="1"/>
    <col min="11266" max="11266" width="18.28515625" style="99" customWidth="1"/>
    <col min="11267" max="11267" width="18.85546875" style="99" customWidth="1"/>
    <col min="11268" max="11268" width="16.5703125" style="99" customWidth="1"/>
    <col min="11269" max="11269" width="18.28515625" style="99" customWidth="1"/>
    <col min="11270" max="11270" width="17.5703125" style="99" customWidth="1"/>
    <col min="11271" max="11271" width="19" style="99" customWidth="1"/>
    <col min="11272" max="11520" width="8.7109375" style="99"/>
    <col min="11521" max="11521" width="10.85546875" style="99" customWidth="1"/>
    <col min="11522" max="11522" width="18.28515625" style="99" customWidth="1"/>
    <col min="11523" max="11523" width="18.85546875" style="99" customWidth="1"/>
    <col min="11524" max="11524" width="16.5703125" style="99" customWidth="1"/>
    <col min="11525" max="11525" width="18.28515625" style="99" customWidth="1"/>
    <col min="11526" max="11526" width="17.5703125" style="99" customWidth="1"/>
    <col min="11527" max="11527" width="19" style="99" customWidth="1"/>
    <col min="11528" max="11776" width="8.7109375" style="99"/>
    <col min="11777" max="11777" width="10.85546875" style="99" customWidth="1"/>
    <col min="11778" max="11778" width="18.28515625" style="99" customWidth="1"/>
    <col min="11779" max="11779" width="18.85546875" style="99" customWidth="1"/>
    <col min="11780" max="11780" width="16.5703125" style="99" customWidth="1"/>
    <col min="11781" max="11781" width="18.28515625" style="99" customWidth="1"/>
    <col min="11782" max="11782" width="17.5703125" style="99" customWidth="1"/>
    <col min="11783" max="11783" width="19" style="99" customWidth="1"/>
    <col min="11784" max="12032" width="8.7109375" style="99"/>
    <col min="12033" max="12033" width="10.85546875" style="99" customWidth="1"/>
    <col min="12034" max="12034" width="18.28515625" style="99" customWidth="1"/>
    <col min="12035" max="12035" width="18.85546875" style="99" customWidth="1"/>
    <col min="12036" max="12036" width="16.5703125" style="99" customWidth="1"/>
    <col min="12037" max="12037" width="18.28515625" style="99" customWidth="1"/>
    <col min="12038" max="12038" width="17.5703125" style="99" customWidth="1"/>
    <col min="12039" max="12039" width="19" style="99" customWidth="1"/>
    <col min="12040" max="12288" width="8.7109375" style="99"/>
    <col min="12289" max="12289" width="10.85546875" style="99" customWidth="1"/>
    <col min="12290" max="12290" width="18.28515625" style="99" customWidth="1"/>
    <col min="12291" max="12291" width="18.85546875" style="99" customWidth="1"/>
    <col min="12292" max="12292" width="16.5703125" style="99" customWidth="1"/>
    <col min="12293" max="12293" width="18.28515625" style="99" customWidth="1"/>
    <col min="12294" max="12294" width="17.5703125" style="99" customWidth="1"/>
    <col min="12295" max="12295" width="19" style="99" customWidth="1"/>
    <col min="12296" max="12544" width="8.7109375" style="99"/>
    <col min="12545" max="12545" width="10.85546875" style="99" customWidth="1"/>
    <col min="12546" max="12546" width="18.28515625" style="99" customWidth="1"/>
    <col min="12547" max="12547" width="18.85546875" style="99" customWidth="1"/>
    <col min="12548" max="12548" width="16.5703125" style="99" customWidth="1"/>
    <col min="12549" max="12549" width="18.28515625" style="99" customWidth="1"/>
    <col min="12550" max="12550" width="17.5703125" style="99" customWidth="1"/>
    <col min="12551" max="12551" width="19" style="99" customWidth="1"/>
    <col min="12552" max="12800" width="8.7109375" style="99"/>
    <col min="12801" max="12801" width="10.85546875" style="99" customWidth="1"/>
    <col min="12802" max="12802" width="18.28515625" style="99" customWidth="1"/>
    <col min="12803" max="12803" width="18.85546875" style="99" customWidth="1"/>
    <col min="12804" max="12804" width="16.5703125" style="99" customWidth="1"/>
    <col min="12805" max="12805" width="18.28515625" style="99" customWidth="1"/>
    <col min="12806" max="12806" width="17.5703125" style="99" customWidth="1"/>
    <col min="12807" max="12807" width="19" style="99" customWidth="1"/>
    <col min="12808" max="13056" width="8.7109375" style="99"/>
    <col min="13057" max="13057" width="10.85546875" style="99" customWidth="1"/>
    <col min="13058" max="13058" width="18.28515625" style="99" customWidth="1"/>
    <col min="13059" max="13059" width="18.85546875" style="99" customWidth="1"/>
    <col min="13060" max="13060" width="16.5703125" style="99" customWidth="1"/>
    <col min="13061" max="13061" width="18.28515625" style="99" customWidth="1"/>
    <col min="13062" max="13062" width="17.5703125" style="99" customWidth="1"/>
    <col min="13063" max="13063" width="19" style="99" customWidth="1"/>
    <col min="13064" max="13312" width="8.7109375" style="99"/>
    <col min="13313" max="13313" width="10.85546875" style="99" customWidth="1"/>
    <col min="13314" max="13314" width="18.28515625" style="99" customWidth="1"/>
    <col min="13315" max="13315" width="18.85546875" style="99" customWidth="1"/>
    <col min="13316" max="13316" width="16.5703125" style="99" customWidth="1"/>
    <col min="13317" max="13317" width="18.28515625" style="99" customWidth="1"/>
    <col min="13318" max="13318" width="17.5703125" style="99" customWidth="1"/>
    <col min="13319" max="13319" width="19" style="99" customWidth="1"/>
    <col min="13320" max="13568" width="8.7109375" style="99"/>
    <col min="13569" max="13569" width="10.85546875" style="99" customWidth="1"/>
    <col min="13570" max="13570" width="18.28515625" style="99" customWidth="1"/>
    <col min="13571" max="13571" width="18.85546875" style="99" customWidth="1"/>
    <col min="13572" max="13572" width="16.5703125" style="99" customWidth="1"/>
    <col min="13573" max="13573" width="18.28515625" style="99" customWidth="1"/>
    <col min="13574" max="13574" width="17.5703125" style="99" customWidth="1"/>
    <col min="13575" max="13575" width="19" style="99" customWidth="1"/>
    <col min="13576" max="13824" width="8.7109375" style="99"/>
    <col min="13825" max="13825" width="10.85546875" style="99" customWidth="1"/>
    <col min="13826" max="13826" width="18.28515625" style="99" customWidth="1"/>
    <col min="13827" max="13827" width="18.85546875" style="99" customWidth="1"/>
    <col min="13828" max="13828" width="16.5703125" style="99" customWidth="1"/>
    <col min="13829" max="13829" width="18.28515625" style="99" customWidth="1"/>
    <col min="13830" max="13830" width="17.5703125" style="99" customWidth="1"/>
    <col min="13831" max="13831" width="19" style="99" customWidth="1"/>
    <col min="13832" max="14080" width="8.7109375" style="99"/>
    <col min="14081" max="14081" width="10.85546875" style="99" customWidth="1"/>
    <col min="14082" max="14082" width="18.28515625" style="99" customWidth="1"/>
    <col min="14083" max="14083" width="18.85546875" style="99" customWidth="1"/>
    <col min="14084" max="14084" width="16.5703125" style="99" customWidth="1"/>
    <col min="14085" max="14085" width="18.28515625" style="99" customWidth="1"/>
    <col min="14086" max="14086" width="17.5703125" style="99" customWidth="1"/>
    <col min="14087" max="14087" width="19" style="99" customWidth="1"/>
    <col min="14088" max="14336" width="8.7109375" style="99"/>
    <col min="14337" max="14337" width="10.85546875" style="99" customWidth="1"/>
    <col min="14338" max="14338" width="18.28515625" style="99" customWidth="1"/>
    <col min="14339" max="14339" width="18.85546875" style="99" customWidth="1"/>
    <col min="14340" max="14340" width="16.5703125" style="99" customWidth="1"/>
    <col min="14341" max="14341" width="18.28515625" style="99" customWidth="1"/>
    <col min="14342" max="14342" width="17.5703125" style="99" customWidth="1"/>
    <col min="14343" max="14343" width="19" style="99" customWidth="1"/>
    <col min="14344" max="14592" width="8.7109375" style="99"/>
    <col min="14593" max="14593" width="10.85546875" style="99" customWidth="1"/>
    <col min="14594" max="14594" width="18.28515625" style="99" customWidth="1"/>
    <col min="14595" max="14595" width="18.85546875" style="99" customWidth="1"/>
    <col min="14596" max="14596" width="16.5703125" style="99" customWidth="1"/>
    <col min="14597" max="14597" width="18.28515625" style="99" customWidth="1"/>
    <col min="14598" max="14598" width="17.5703125" style="99" customWidth="1"/>
    <col min="14599" max="14599" width="19" style="99" customWidth="1"/>
    <col min="14600" max="14848" width="8.7109375" style="99"/>
    <col min="14849" max="14849" width="10.85546875" style="99" customWidth="1"/>
    <col min="14850" max="14850" width="18.28515625" style="99" customWidth="1"/>
    <col min="14851" max="14851" width="18.85546875" style="99" customWidth="1"/>
    <col min="14852" max="14852" width="16.5703125" style="99" customWidth="1"/>
    <col min="14853" max="14853" width="18.28515625" style="99" customWidth="1"/>
    <col min="14854" max="14854" width="17.5703125" style="99" customWidth="1"/>
    <col min="14855" max="14855" width="19" style="99" customWidth="1"/>
    <col min="14856" max="15104" width="8.7109375" style="99"/>
    <col min="15105" max="15105" width="10.85546875" style="99" customWidth="1"/>
    <col min="15106" max="15106" width="18.28515625" style="99" customWidth="1"/>
    <col min="15107" max="15107" width="18.85546875" style="99" customWidth="1"/>
    <col min="15108" max="15108" width="16.5703125" style="99" customWidth="1"/>
    <col min="15109" max="15109" width="18.28515625" style="99" customWidth="1"/>
    <col min="15110" max="15110" width="17.5703125" style="99" customWidth="1"/>
    <col min="15111" max="15111" width="19" style="99" customWidth="1"/>
    <col min="15112" max="15360" width="8.7109375" style="99"/>
    <col min="15361" max="15361" width="10.85546875" style="99" customWidth="1"/>
    <col min="15362" max="15362" width="18.28515625" style="99" customWidth="1"/>
    <col min="15363" max="15363" width="18.85546875" style="99" customWidth="1"/>
    <col min="15364" max="15364" width="16.5703125" style="99" customWidth="1"/>
    <col min="15365" max="15365" width="18.28515625" style="99" customWidth="1"/>
    <col min="15366" max="15366" width="17.5703125" style="99" customWidth="1"/>
    <col min="15367" max="15367" width="19" style="99" customWidth="1"/>
    <col min="15368" max="15616" width="8.7109375" style="99"/>
    <col min="15617" max="15617" width="10.85546875" style="99" customWidth="1"/>
    <col min="15618" max="15618" width="18.28515625" style="99" customWidth="1"/>
    <col min="15619" max="15619" width="18.85546875" style="99" customWidth="1"/>
    <col min="15620" max="15620" width="16.5703125" style="99" customWidth="1"/>
    <col min="15621" max="15621" width="18.28515625" style="99" customWidth="1"/>
    <col min="15622" max="15622" width="17.5703125" style="99" customWidth="1"/>
    <col min="15623" max="15623" width="19" style="99" customWidth="1"/>
    <col min="15624" max="15872" width="8.7109375" style="99"/>
    <col min="15873" max="15873" width="10.85546875" style="99" customWidth="1"/>
    <col min="15874" max="15874" width="18.28515625" style="99" customWidth="1"/>
    <col min="15875" max="15875" width="18.85546875" style="99" customWidth="1"/>
    <col min="15876" max="15876" width="16.5703125" style="99" customWidth="1"/>
    <col min="15877" max="15877" width="18.28515625" style="99" customWidth="1"/>
    <col min="15878" max="15878" width="17.5703125" style="99" customWidth="1"/>
    <col min="15879" max="15879" width="19" style="99" customWidth="1"/>
    <col min="15880" max="16128" width="8.7109375" style="99"/>
    <col min="16129" max="16129" width="10.85546875" style="99" customWidth="1"/>
    <col min="16130" max="16130" width="18.28515625" style="99" customWidth="1"/>
    <col min="16131" max="16131" width="18.85546875" style="99" customWidth="1"/>
    <col min="16132" max="16132" width="16.5703125" style="99" customWidth="1"/>
    <col min="16133" max="16133" width="18.28515625" style="99" customWidth="1"/>
    <col min="16134" max="16134" width="17.5703125" style="99" customWidth="1"/>
    <col min="16135" max="16135" width="19" style="99" customWidth="1"/>
    <col min="16136" max="16384" width="8.7109375" style="99"/>
  </cols>
  <sheetData>
    <row r="2" spans="1:12" x14ac:dyDescent="0.2">
      <c r="A2" s="224" t="s">
        <v>197</v>
      </c>
      <c r="B2" s="224"/>
      <c r="C2" s="224"/>
      <c r="D2" s="224"/>
      <c r="E2" s="224"/>
      <c r="F2" s="224"/>
    </row>
    <row r="3" spans="1:12" ht="22.5" customHeight="1" x14ac:dyDescent="0.2">
      <c r="A3" s="222" t="s">
        <v>198</v>
      </c>
      <c r="B3" s="222"/>
      <c r="C3" s="222"/>
      <c r="D3" s="222"/>
      <c r="E3" s="222"/>
      <c r="F3" s="222"/>
    </row>
    <row r="4" spans="1:12" ht="25.5" customHeight="1" x14ac:dyDescent="0.2">
      <c r="A4" s="221" t="s">
        <v>199</v>
      </c>
      <c r="B4" s="222"/>
      <c r="C4" s="222"/>
      <c r="D4" s="222"/>
      <c r="E4" s="222"/>
      <c r="F4" s="223"/>
    </row>
    <row r="5" spans="1:12" ht="31.5" x14ac:dyDescent="0.25">
      <c r="A5" s="225" t="s">
        <v>200</v>
      </c>
      <c r="B5" s="101" t="s">
        <v>201</v>
      </c>
      <c r="C5" s="102" t="s">
        <v>202</v>
      </c>
      <c r="D5" s="102" t="s">
        <v>203</v>
      </c>
      <c r="E5" s="102" t="s">
        <v>204</v>
      </c>
      <c r="F5" s="102" t="s">
        <v>205</v>
      </c>
      <c r="G5" s="99" t="s">
        <v>206</v>
      </c>
    </row>
    <row r="6" spans="1:12" ht="15.75" x14ac:dyDescent="0.25">
      <c r="A6" s="226"/>
      <c r="B6" s="104" t="s">
        <v>4</v>
      </c>
      <c r="C6" s="105" t="s">
        <v>207</v>
      </c>
      <c r="D6" s="105" t="s">
        <v>8</v>
      </c>
      <c r="E6" s="105" t="s">
        <v>208</v>
      </c>
      <c r="F6" s="105" t="s">
        <v>209</v>
      </c>
    </row>
    <row r="7" spans="1:12" ht="15.75" x14ac:dyDescent="0.25">
      <c r="A7" s="103"/>
      <c r="B7" s="106"/>
      <c r="C7" s="107">
        <f t="shared" ref="C7:C18" si="0">B7*1.65%</f>
        <v>0</v>
      </c>
      <c r="D7" s="108"/>
      <c r="E7" s="107">
        <f t="shared" ref="E7:E14" si="1">C7-D7</f>
        <v>0</v>
      </c>
      <c r="F7" s="109">
        <f>IFERROR(E7/B7,0)</f>
        <v>0</v>
      </c>
    </row>
    <row r="8" spans="1:12" ht="15.75" x14ac:dyDescent="0.25">
      <c r="A8" s="103"/>
      <c r="B8" s="110"/>
      <c r="C8" s="107">
        <f t="shared" si="0"/>
        <v>0</v>
      </c>
      <c r="D8" s="108"/>
      <c r="E8" s="107">
        <f t="shared" si="1"/>
        <v>0</v>
      </c>
      <c r="F8" s="109">
        <f t="shared" ref="F8:F18" si="2">IFERROR(E8/B8,0)</f>
        <v>0</v>
      </c>
    </row>
    <row r="9" spans="1:12" ht="15.75" x14ac:dyDescent="0.25">
      <c r="A9" s="103"/>
      <c r="B9" s="110"/>
      <c r="C9" s="107">
        <f t="shared" si="0"/>
        <v>0</v>
      </c>
      <c r="D9" s="108"/>
      <c r="E9" s="107">
        <f t="shared" si="1"/>
        <v>0</v>
      </c>
      <c r="F9" s="109">
        <f t="shared" si="2"/>
        <v>0</v>
      </c>
    </row>
    <row r="10" spans="1:12" ht="15.75" x14ac:dyDescent="0.25">
      <c r="A10" s="103"/>
      <c r="B10" s="110"/>
      <c r="C10" s="107">
        <f t="shared" si="0"/>
        <v>0</v>
      </c>
      <c r="D10" s="108"/>
      <c r="E10" s="107"/>
      <c r="F10" s="109">
        <f t="shared" si="2"/>
        <v>0</v>
      </c>
    </row>
    <row r="11" spans="1:12" ht="15.75" x14ac:dyDescent="0.25">
      <c r="A11" s="103"/>
      <c r="B11" s="110"/>
      <c r="C11" s="107">
        <f t="shared" si="0"/>
        <v>0</v>
      </c>
      <c r="D11" s="108"/>
      <c r="E11" s="107">
        <f t="shared" si="1"/>
        <v>0</v>
      </c>
      <c r="F11" s="109">
        <f t="shared" si="2"/>
        <v>0</v>
      </c>
    </row>
    <row r="12" spans="1:12" ht="15.75" x14ac:dyDescent="0.25">
      <c r="A12" s="103"/>
      <c r="B12" s="110"/>
      <c r="C12" s="107">
        <f t="shared" si="0"/>
        <v>0</v>
      </c>
      <c r="D12" s="108"/>
      <c r="E12" s="107">
        <f t="shared" si="1"/>
        <v>0</v>
      </c>
      <c r="F12" s="109">
        <f t="shared" si="2"/>
        <v>0</v>
      </c>
    </row>
    <row r="13" spans="1:12" ht="15.75" x14ac:dyDescent="0.25">
      <c r="A13" s="103"/>
      <c r="B13" s="110"/>
      <c r="C13" s="107">
        <f t="shared" si="0"/>
        <v>0</v>
      </c>
      <c r="D13" s="108"/>
      <c r="E13" s="107">
        <f t="shared" si="1"/>
        <v>0</v>
      </c>
      <c r="F13" s="109">
        <f t="shared" si="2"/>
        <v>0</v>
      </c>
      <c r="G13" s="111"/>
    </row>
    <row r="14" spans="1:12" ht="15.75" x14ac:dyDescent="0.25">
      <c r="A14" s="103"/>
      <c r="B14" s="110"/>
      <c r="C14" s="107">
        <f t="shared" si="0"/>
        <v>0</v>
      </c>
      <c r="D14" s="108"/>
      <c r="E14" s="107">
        <f t="shared" si="1"/>
        <v>0</v>
      </c>
      <c r="F14" s="109">
        <f t="shared" si="2"/>
        <v>0</v>
      </c>
      <c r="G14" s="111"/>
      <c r="K14" s="125"/>
      <c r="L14" s="125"/>
    </row>
    <row r="15" spans="1:12" ht="15.75" x14ac:dyDescent="0.25">
      <c r="A15" s="103"/>
      <c r="B15" s="110"/>
      <c r="C15" s="107">
        <f t="shared" si="0"/>
        <v>0</v>
      </c>
      <c r="D15" s="108"/>
      <c r="E15" s="107">
        <f>C15-D15</f>
        <v>0</v>
      </c>
      <c r="F15" s="109">
        <f t="shared" si="2"/>
        <v>0</v>
      </c>
    </row>
    <row r="16" spans="1:12" ht="15.75" x14ac:dyDescent="0.25">
      <c r="A16" s="103"/>
      <c r="B16" s="110"/>
      <c r="C16" s="107">
        <f t="shared" si="0"/>
        <v>0</v>
      </c>
      <c r="D16" s="108"/>
      <c r="E16" s="107">
        <f>C16-D16</f>
        <v>0</v>
      </c>
      <c r="F16" s="109">
        <f t="shared" si="2"/>
        <v>0</v>
      </c>
    </row>
    <row r="17" spans="1:6" ht="15.75" x14ac:dyDescent="0.25">
      <c r="A17" s="103"/>
      <c r="B17" s="110"/>
      <c r="C17" s="107">
        <f t="shared" si="0"/>
        <v>0</v>
      </c>
      <c r="D17" s="108"/>
      <c r="E17" s="107">
        <f>C17-D17</f>
        <v>0</v>
      </c>
      <c r="F17" s="109">
        <f t="shared" si="2"/>
        <v>0</v>
      </c>
    </row>
    <row r="18" spans="1:6" ht="15.75" x14ac:dyDescent="0.25">
      <c r="A18" s="103"/>
      <c r="B18" s="110"/>
      <c r="C18" s="107">
        <f t="shared" si="0"/>
        <v>0</v>
      </c>
      <c r="D18" s="108"/>
      <c r="E18" s="107">
        <f>C18-D18</f>
        <v>0</v>
      </c>
      <c r="F18" s="109">
        <f t="shared" si="2"/>
        <v>0</v>
      </c>
    </row>
    <row r="19" spans="1:6" ht="33.75" customHeight="1" x14ac:dyDescent="0.2">
      <c r="A19" s="218" t="s">
        <v>210</v>
      </c>
      <c r="B19" s="218"/>
      <c r="C19" s="218"/>
      <c r="D19" s="218"/>
      <c r="E19" s="218"/>
      <c r="F19" s="112">
        <f>AVERAGE(F7:F18)</f>
        <v>0</v>
      </c>
    </row>
    <row r="20" spans="1:6" ht="15.75" x14ac:dyDescent="0.25">
      <c r="A20" s="113"/>
      <c r="B20" s="114"/>
      <c r="C20" s="113"/>
      <c r="D20" s="113"/>
      <c r="E20" s="113"/>
      <c r="F20" s="113"/>
    </row>
    <row r="21" spans="1:6" ht="28.5" customHeight="1" x14ac:dyDescent="0.2">
      <c r="A21" s="221" t="s">
        <v>211</v>
      </c>
      <c r="B21" s="222"/>
      <c r="C21" s="222"/>
      <c r="D21" s="222"/>
      <c r="E21" s="222"/>
      <c r="F21" s="223"/>
    </row>
    <row r="22" spans="1:6" ht="31.5" x14ac:dyDescent="0.2">
      <c r="A22" s="100" t="s">
        <v>200</v>
      </c>
      <c r="B22" s="115" t="s">
        <v>201</v>
      </c>
      <c r="C22" s="100" t="s">
        <v>202</v>
      </c>
      <c r="D22" s="100" t="s">
        <v>203</v>
      </c>
      <c r="E22" s="100" t="s">
        <v>204</v>
      </c>
      <c r="F22" s="100" t="s">
        <v>205</v>
      </c>
    </row>
    <row r="23" spans="1:6" ht="15.75" x14ac:dyDescent="0.25">
      <c r="A23" s="116"/>
      <c r="B23" s="104" t="s">
        <v>4</v>
      </c>
      <c r="C23" s="105" t="s">
        <v>212</v>
      </c>
      <c r="D23" s="105" t="s">
        <v>8</v>
      </c>
      <c r="E23" s="105" t="s">
        <v>208</v>
      </c>
      <c r="F23" s="105" t="s">
        <v>209</v>
      </c>
    </row>
    <row r="24" spans="1:6" ht="15.75" x14ac:dyDescent="0.25">
      <c r="A24" s="103">
        <f>A6</f>
        <v>0</v>
      </c>
      <c r="B24" s="117">
        <f t="shared" ref="B24:B35" si="3">B7</f>
        <v>0</v>
      </c>
      <c r="C24" s="107">
        <f t="shared" ref="C24:C35" si="4">B24*7.6%</f>
        <v>0</v>
      </c>
      <c r="D24" s="108"/>
      <c r="E24" s="107">
        <f t="shared" ref="E24:E35" si="5">C24-D24</f>
        <v>0</v>
      </c>
      <c r="F24" s="109">
        <f t="shared" ref="F24:F35" si="6">IFERROR(E24/B24,0)</f>
        <v>0</v>
      </c>
    </row>
    <row r="25" spans="1:6" ht="15.75" x14ac:dyDescent="0.25">
      <c r="A25" s="103">
        <f t="shared" ref="A25:A35" si="7">A7</f>
        <v>0</v>
      </c>
      <c r="B25" s="110">
        <f t="shared" si="3"/>
        <v>0</v>
      </c>
      <c r="C25" s="107">
        <f t="shared" si="4"/>
        <v>0</v>
      </c>
      <c r="D25" s="108"/>
      <c r="E25" s="107">
        <f t="shared" si="5"/>
        <v>0</v>
      </c>
      <c r="F25" s="109">
        <f t="shared" si="6"/>
        <v>0</v>
      </c>
    </row>
    <row r="26" spans="1:6" ht="15.75" x14ac:dyDescent="0.25">
      <c r="A26" s="103">
        <f t="shared" si="7"/>
        <v>0</v>
      </c>
      <c r="B26" s="110">
        <f t="shared" si="3"/>
        <v>0</v>
      </c>
      <c r="C26" s="107">
        <f t="shared" si="4"/>
        <v>0</v>
      </c>
      <c r="D26" s="108"/>
      <c r="E26" s="107">
        <f t="shared" si="5"/>
        <v>0</v>
      </c>
      <c r="F26" s="109">
        <f t="shared" si="6"/>
        <v>0</v>
      </c>
    </row>
    <row r="27" spans="1:6" ht="15.75" x14ac:dyDescent="0.25">
      <c r="A27" s="103">
        <f t="shared" si="7"/>
        <v>0</v>
      </c>
      <c r="B27" s="110">
        <f t="shared" si="3"/>
        <v>0</v>
      </c>
      <c r="C27" s="107">
        <f t="shared" si="4"/>
        <v>0</v>
      </c>
      <c r="D27" s="108"/>
      <c r="E27" s="107">
        <f t="shared" si="5"/>
        <v>0</v>
      </c>
      <c r="F27" s="109">
        <f t="shared" si="6"/>
        <v>0</v>
      </c>
    </row>
    <row r="28" spans="1:6" ht="15.75" x14ac:dyDescent="0.25">
      <c r="A28" s="103">
        <f t="shared" si="7"/>
        <v>0</v>
      </c>
      <c r="B28" s="110">
        <f t="shared" si="3"/>
        <v>0</v>
      </c>
      <c r="C28" s="107">
        <f t="shared" si="4"/>
        <v>0</v>
      </c>
      <c r="D28" s="108"/>
      <c r="E28" s="107">
        <f t="shared" si="5"/>
        <v>0</v>
      </c>
      <c r="F28" s="109">
        <f t="shared" si="6"/>
        <v>0</v>
      </c>
    </row>
    <row r="29" spans="1:6" ht="15.75" x14ac:dyDescent="0.25">
      <c r="A29" s="103">
        <f t="shared" si="7"/>
        <v>0</v>
      </c>
      <c r="B29" s="110">
        <f t="shared" si="3"/>
        <v>0</v>
      </c>
      <c r="C29" s="107">
        <f t="shared" si="4"/>
        <v>0</v>
      </c>
      <c r="D29" s="108"/>
      <c r="E29" s="107">
        <f t="shared" si="5"/>
        <v>0</v>
      </c>
      <c r="F29" s="109">
        <f t="shared" si="6"/>
        <v>0</v>
      </c>
    </row>
    <row r="30" spans="1:6" ht="15.75" x14ac:dyDescent="0.25">
      <c r="A30" s="103">
        <f t="shared" si="7"/>
        <v>0</v>
      </c>
      <c r="B30" s="110">
        <f t="shared" si="3"/>
        <v>0</v>
      </c>
      <c r="C30" s="107">
        <f t="shared" si="4"/>
        <v>0</v>
      </c>
      <c r="D30" s="108"/>
      <c r="E30" s="107">
        <f t="shared" si="5"/>
        <v>0</v>
      </c>
      <c r="F30" s="109">
        <f t="shared" si="6"/>
        <v>0</v>
      </c>
    </row>
    <row r="31" spans="1:6" ht="15.75" x14ac:dyDescent="0.25">
      <c r="A31" s="103">
        <f t="shared" si="7"/>
        <v>0</v>
      </c>
      <c r="B31" s="110">
        <f t="shared" si="3"/>
        <v>0</v>
      </c>
      <c r="C31" s="107">
        <f t="shared" si="4"/>
        <v>0</v>
      </c>
      <c r="D31" s="108"/>
      <c r="E31" s="107">
        <f t="shared" si="5"/>
        <v>0</v>
      </c>
      <c r="F31" s="109">
        <f t="shared" si="6"/>
        <v>0</v>
      </c>
    </row>
    <row r="32" spans="1:6" ht="15.75" x14ac:dyDescent="0.25">
      <c r="A32" s="103">
        <f t="shared" si="7"/>
        <v>0</v>
      </c>
      <c r="B32" s="110">
        <f t="shared" si="3"/>
        <v>0</v>
      </c>
      <c r="C32" s="107">
        <f t="shared" si="4"/>
        <v>0</v>
      </c>
      <c r="D32" s="108"/>
      <c r="E32" s="107">
        <f t="shared" si="5"/>
        <v>0</v>
      </c>
      <c r="F32" s="109">
        <f t="shared" si="6"/>
        <v>0</v>
      </c>
    </row>
    <row r="33" spans="1:6" ht="15.75" x14ac:dyDescent="0.25">
      <c r="A33" s="103">
        <f t="shared" si="7"/>
        <v>0</v>
      </c>
      <c r="B33" s="110">
        <f t="shared" si="3"/>
        <v>0</v>
      </c>
      <c r="C33" s="107">
        <f t="shared" si="4"/>
        <v>0</v>
      </c>
      <c r="D33" s="108"/>
      <c r="E33" s="107">
        <f t="shared" si="5"/>
        <v>0</v>
      </c>
      <c r="F33" s="109">
        <f t="shared" si="6"/>
        <v>0</v>
      </c>
    </row>
    <row r="34" spans="1:6" ht="15.75" x14ac:dyDescent="0.25">
      <c r="A34" s="103">
        <f t="shared" si="7"/>
        <v>0</v>
      </c>
      <c r="B34" s="110">
        <f t="shared" si="3"/>
        <v>0</v>
      </c>
      <c r="C34" s="107">
        <f t="shared" si="4"/>
        <v>0</v>
      </c>
      <c r="D34" s="108"/>
      <c r="E34" s="107">
        <f t="shared" si="5"/>
        <v>0</v>
      </c>
      <c r="F34" s="109">
        <f t="shared" si="6"/>
        <v>0</v>
      </c>
    </row>
    <row r="35" spans="1:6" ht="15.75" x14ac:dyDescent="0.25">
      <c r="A35" s="103">
        <f t="shared" si="7"/>
        <v>0</v>
      </c>
      <c r="B35" s="110">
        <f t="shared" si="3"/>
        <v>0</v>
      </c>
      <c r="C35" s="107">
        <f t="shared" si="4"/>
        <v>0</v>
      </c>
      <c r="D35" s="108"/>
      <c r="E35" s="107">
        <f t="shared" si="5"/>
        <v>0</v>
      </c>
      <c r="F35" s="109">
        <f t="shared" si="6"/>
        <v>0</v>
      </c>
    </row>
    <row r="36" spans="1:6" ht="33" customHeight="1" x14ac:dyDescent="0.2">
      <c r="A36" s="218" t="s">
        <v>210</v>
      </c>
      <c r="B36" s="218"/>
      <c r="C36" s="218"/>
      <c r="D36" s="218"/>
      <c r="E36" s="218"/>
      <c r="F36" s="112">
        <f>AVERAGE(F24:F35)</f>
        <v>0</v>
      </c>
    </row>
    <row r="37" spans="1:6" ht="15.75" x14ac:dyDescent="0.25">
      <c r="A37" s="144"/>
      <c r="B37" s="144"/>
      <c r="C37" s="144"/>
      <c r="D37" s="144"/>
      <c r="E37" s="144"/>
      <c r="F37" s="118"/>
    </row>
    <row r="38" spans="1:6" ht="15.75" x14ac:dyDescent="0.25">
      <c r="A38" s="219"/>
      <c r="B38" s="219"/>
      <c r="C38" s="219"/>
      <c r="D38" s="219"/>
      <c r="E38" s="219"/>
      <c r="F38" s="219"/>
    </row>
    <row r="39" spans="1:6" ht="15.75" x14ac:dyDescent="0.25">
      <c r="A39" s="143"/>
      <c r="B39" s="143"/>
      <c r="C39" s="143"/>
      <c r="D39" s="143"/>
      <c r="E39" s="143"/>
      <c r="F39" s="143"/>
    </row>
    <row r="40" spans="1:6" ht="15.75" x14ac:dyDescent="0.25">
      <c r="A40" s="143"/>
      <c r="B40" s="143"/>
      <c r="C40" s="143"/>
      <c r="D40" s="143"/>
      <c r="E40" s="143"/>
      <c r="F40" s="143"/>
    </row>
    <row r="41" spans="1:6" ht="15.75" x14ac:dyDescent="0.25">
      <c r="A41" s="220"/>
      <c r="B41" s="220"/>
      <c r="C41" s="220"/>
      <c r="D41" s="220"/>
      <c r="E41" s="220"/>
      <c r="F41" s="220"/>
    </row>
    <row r="42" spans="1:6" ht="15.75" x14ac:dyDescent="0.25">
      <c r="A42" s="220"/>
      <c r="B42" s="220"/>
      <c r="C42" s="220"/>
      <c r="D42" s="220"/>
      <c r="E42" s="220"/>
      <c r="F42" s="220"/>
    </row>
    <row r="43" spans="1:6" ht="15.75" x14ac:dyDescent="0.25">
      <c r="A43" s="220"/>
      <c r="B43" s="220"/>
      <c r="C43" s="220"/>
      <c r="D43" s="220"/>
      <c r="E43" s="220"/>
      <c r="F43" s="220"/>
    </row>
    <row r="44" spans="1:6" s="119" customFormat="1" ht="15.75" x14ac:dyDescent="0.25">
      <c r="A44" s="144"/>
      <c r="B44" s="144"/>
      <c r="C44" s="144"/>
      <c r="D44" s="144"/>
      <c r="E44" s="144"/>
      <c r="F44" s="118"/>
    </row>
    <row r="45" spans="1:6" ht="15.75" x14ac:dyDescent="0.25">
      <c r="A45" s="120"/>
      <c r="B45" s="121"/>
      <c r="C45" s="120"/>
      <c r="D45" s="120"/>
      <c r="E45" s="120"/>
      <c r="F45" s="122">
        <f>F36+F19</f>
        <v>0</v>
      </c>
    </row>
  </sheetData>
  <mergeCells count="11">
    <mergeCell ref="A21:F21"/>
    <mergeCell ref="A2:F2"/>
    <mergeCell ref="A3:F3"/>
    <mergeCell ref="A4:F4"/>
    <mergeCell ref="A5:A6"/>
    <mergeCell ref="A19:E19"/>
    <mergeCell ref="A36:E36"/>
    <mergeCell ref="A38:F38"/>
    <mergeCell ref="A41:F41"/>
    <mergeCell ref="A42:F42"/>
    <mergeCell ref="A43:F43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M28" sqref="M28"/>
    </sheetView>
  </sheetViews>
  <sheetFormatPr defaultRowHeight="15" x14ac:dyDescent="0.25"/>
  <cols>
    <col min="1" max="1" width="32.7109375" bestFit="1" customWidth="1"/>
    <col min="2" max="2" width="13.28515625" style="160" bestFit="1" customWidth="1"/>
    <col min="3" max="4" width="15.140625" customWidth="1"/>
    <col min="5" max="5" width="23.85546875" customWidth="1"/>
    <col min="6" max="6" width="22.85546875" customWidth="1"/>
    <col min="7" max="7" width="16.7109375" style="160" customWidth="1"/>
    <col min="8" max="8" width="28.140625" customWidth="1"/>
    <col min="9" max="9" width="16.85546875" customWidth="1"/>
  </cols>
  <sheetData>
    <row r="1" spans="1:9" x14ac:dyDescent="0.25">
      <c r="A1" s="145" t="s">
        <v>276</v>
      </c>
      <c r="B1" s="146">
        <v>4800000</v>
      </c>
      <c r="D1" s="227" t="s">
        <v>277</v>
      </c>
      <c r="E1" s="227"/>
      <c r="F1" s="227"/>
      <c r="G1" s="227"/>
      <c r="H1" s="227"/>
    </row>
    <row r="2" spans="1:9" x14ac:dyDescent="0.25">
      <c r="A2" s="147" t="s">
        <v>278</v>
      </c>
      <c r="B2" s="148">
        <f>IF(B1&lt;E7,D6,IF(B1&lt;E8,D7,IF(B1&lt;E9,D8,IF(B1&lt;E10,D9,IF(B1&lt;E11,D10,IF(B1&lt;=F11,D11))))))</f>
        <v>6</v>
      </c>
      <c r="D2" s="227"/>
      <c r="E2" s="227"/>
      <c r="F2" s="227"/>
      <c r="G2" s="227"/>
      <c r="H2" s="227"/>
    </row>
    <row r="3" spans="1:9" ht="15" customHeight="1" x14ac:dyDescent="0.25">
      <c r="A3" s="145" t="s">
        <v>279</v>
      </c>
      <c r="B3" s="146">
        <f>IF(B2=1,G6,IF(B2=2,G7,IF(B2=3,G8,IF(B2=4,G9,IF(B2=5,G10,IF(B2=6,G11))))))</f>
        <v>33</v>
      </c>
      <c r="D3" s="228" t="s">
        <v>280</v>
      </c>
      <c r="E3" s="228"/>
      <c r="F3" s="228"/>
      <c r="G3" s="228"/>
      <c r="H3" s="228"/>
    </row>
    <row r="4" spans="1:9" x14ac:dyDescent="0.25">
      <c r="A4" s="147" t="s">
        <v>281</v>
      </c>
      <c r="B4" s="149">
        <f>IF(B2=1,H6,IF(B2=2,H7,IF(B2=3,H8,IF(B2=4,H9,IF(B2=5,H10,IF(B2=6,H11))))))</f>
        <v>828000</v>
      </c>
      <c r="D4" s="228"/>
      <c r="E4" s="228"/>
      <c r="F4" s="228"/>
      <c r="G4" s="228"/>
      <c r="H4" s="228"/>
    </row>
    <row r="5" spans="1:9" x14ac:dyDescent="0.25">
      <c r="A5" s="145" t="s">
        <v>282</v>
      </c>
      <c r="B5" s="146">
        <f>IFERROR((B1*(B3/100)-B4)/B1*100,0)</f>
        <v>15.75</v>
      </c>
      <c r="C5" s="150"/>
      <c r="D5" s="151" t="s">
        <v>283</v>
      </c>
      <c r="E5" s="152" t="s">
        <v>284</v>
      </c>
      <c r="F5" s="152" t="s">
        <v>285</v>
      </c>
      <c r="G5" s="153" t="s">
        <v>286</v>
      </c>
      <c r="H5" s="154" t="s">
        <v>287</v>
      </c>
    </row>
    <row r="6" spans="1:9" x14ac:dyDescent="0.25">
      <c r="A6" s="145" t="s">
        <v>288</v>
      </c>
      <c r="B6" s="146">
        <f>IF(B2=1,B5*I16,
IF(B2=2,B5*I17,
IF(B2=3,B5*I18,
IF(B2=4,B5*I19,
IF(B2=5,IF($B$5&gt;12.5,($B$5-$B$8)*I23,B5*I20),
IF(B2=6,B5*I21,))))))</f>
        <v>0.70087499999999991</v>
      </c>
      <c r="D6" s="155">
        <v>1</v>
      </c>
      <c r="E6" s="132">
        <v>0</v>
      </c>
      <c r="F6" s="133">
        <v>180000</v>
      </c>
      <c r="G6" s="156">
        <v>4.5</v>
      </c>
      <c r="H6" s="157">
        <v>0</v>
      </c>
    </row>
    <row r="7" spans="1:9" x14ac:dyDescent="0.25">
      <c r="A7" s="147" t="s">
        <v>289</v>
      </c>
      <c r="B7" s="149">
        <f>IF(B2=1,B5*H16,
IF(B2=2,B5*H17,
IF(B2=3,B5*H18,
IF(B2=4,B5*H19,
IF(B2=5,IF($B$5&gt;12.5,($B$5-$B$8)*H23,B5*H20),
IF(B2=6,B5*H21,))))))</f>
        <v>3.2366249999999996</v>
      </c>
      <c r="D7" s="155">
        <v>2</v>
      </c>
      <c r="E7" s="133">
        <v>180000.01</v>
      </c>
      <c r="F7" s="133">
        <v>360000</v>
      </c>
      <c r="G7" s="156">
        <v>9</v>
      </c>
      <c r="H7" s="158">
        <v>8100</v>
      </c>
    </row>
    <row r="8" spans="1:9" x14ac:dyDescent="0.25">
      <c r="A8" s="145" t="s">
        <v>290</v>
      </c>
      <c r="B8" s="146">
        <f>IF(IF(B2=1,B5*E16,
IF(B2=2,B5*E17,
IF(B2=3,B5*E18,
IF(B2=4,B5*E19,
IF(B2=5,IF($B$5&gt;12.5,E23*100,B5*E20),
IF(B2=6,Informações!B5*100))))))&lt;2,2,
IF(B2=1,B5*E16,
IF(B2=2,B5*E17,
IF(B2=3,B5*E18,
IF(B2=4,B5*E19,
IF(B2=5,IF($B$5&gt;12.5,E23*100,B5*E20),
IF(B2=6,Informações!B5*100)))))))</f>
        <v>5</v>
      </c>
      <c r="D8" s="155">
        <v>3</v>
      </c>
      <c r="E8" s="133">
        <v>360000.01</v>
      </c>
      <c r="F8" s="133">
        <v>720000</v>
      </c>
      <c r="G8" s="156">
        <v>10.199999999999999</v>
      </c>
      <c r="H8" s="159">
        <v>12420</v>
      </c>
    </row>
    <row r="9" spans="1:9" x14ac:dyDescent="0.25">
      <c r="D9" s="155">
        <v>4</v>
      </c>
      <c r="E9" s="133">
        <v>720000.01</v>
      </c>
      <c r="F9" s="133">
        <v>1800000</v>
      </c>
      <c r="G9" s="156">
        <v>14</v>
      </c>
      <c r="H9" s="159">
        <v>39780</v>
      </c>
    </row>
    <row r="10" spans="1:9" x14ac:dyDescent="0.25">
      <c r="D10" s="155">
        <v>5</v>
      </c>
      <c r="E10" s="133">
        <v>1800000.01</v>
      </c>
      <c r="F10" s="133">
        <v>3600000</v>
      </c>
      <c r="G10" s="156">
        <v>22</v>
      </c>
      <c r="H10" s="159">
        <v>183780</v>
      </c>
    </row>
    <row r="11" spans="1:9" x14ac:dyDescent="0.25">
      <c r="D11" s="161">
        <v>6</v>
      </c>
      <c r="E11" s="162">
        <v>3600000.01</v>
      </c>
      <c r="F11" s="162">
        <v>4800000</v>
      </c>
      <c r="G11" s="163">
        <v>33</v>
      </c>
      <c r="H11" s="164">
        <v>828000</v>
      </c>
    </row>
    <row r="14" spans="1:9" x14ac:dyDescent="0.25">
      <c r="E14" s="165" t="s">
        <v>291</v>
      </c>
      <c r="F14" s="165"/>
      <c r="G14" s="165"/>
      <c r="H14" s="165"/>
      <c r="I14" s="165"/>
    </row>
    <row r="15" spans="1:9" x14ac:dyDescent="0.25">
      <c r="D15" s="166" t="s">
        <v>283</v>
      </c>
      <c r="E15" t="s">
        <v>89</v>
      </c>
      <c r="F15" t="s">
        <v>292</v>
      </c>
      <c r="G15" s="160" t="s">
        <v>293</v>
      </c>
      <c r="H15" t="s">
        <v>294</v>
      </c>
      <c r="I15" t="s">
        <v>295</v>
      </c>
    </row>
    <row r="16" spans="1:9" x14ac:dyDescent="0.25">
      <c r="D16" s="147">
        <v>1</v>
      </c>
      <c r="E16" s="167">
        <v>0.44500000000000001</v>
      </c>
      <c r="F16" s="167">
        <v>0.152</v>
      </c>
      <c r="G16" s="168">
        <v>0.188</v>
      </c>
      <c r="H16" s="167">
        <v>0.1767</v>
      </c>
      <c r="I16" s="167">
        <v>3.8300000000000001E-2</v>
      </c>
    </row>
    <row r="17" spans="1:10" x14ac:dyDescent="0.25">
      <c r="D17" s="145">
        <v>2</v>
      </c>
      <c r="E17" s="167">
        <v>0.4</v>
      </c>
      <c r="F17" s="167">
        <v>0.152</v>
      </c>
      <c r="G17" s="168">
        <v>0.19800000000000001</v>
      </c>
      <c r="H17" s="167">
        <v>0.20549999999999999</v>
      </c>
      <c r="I17" s="167">
        <v>4.4499999999999998E-2</v>
      </c>
    </row>
    <row r="18" spans="1:10" x14ac:dyDescent="0.25">
      <c r="D18" s="147">
        <v>3</v>
      </c>
      <c r="E18" s="167">
        <v>0.4</v>
      </c>
      <c r="F18" s="167">
        <v>0.152</v>
      </c>
      <c r="G18" s="168">
        <v>0.20799999999999999</v>
      </c>
      <c r="H18" s="167">
        <v>0.1973</v>
      </c>
      <c r="I18" s="167">
        <v>4.2700000000000002E-2</v>
      </c>
    </row>
    <row r="19" spans="1:10" x14ac:dyDescent="0.25">
      <c r="D19" s="145">
        <v>4</v>
      </c>
      <c r="E19" s="167">
        <v>0.4</v>
      </c>
      <c r="F19" s="167">
        <v>0.192</v>
      </c>
      <c r="G19" s="168">
        <v>0.17799999999999999</v>
      </c>
      <c r="H19" s="167">
        <v>0.189</v>
      </c>
      <c r="I19" s="167">
        <v>4.1000000000000002E-2</v>
      </c>
    </row>
    <row r="20" spans="1:10" x14ac:dyDescent="0.25">
      <c r="A20" s="169"/>
      <c r="B20" s="170"/>
      <c r="D20" s="147">
        <v>5</v>
      </c>
      <c r="E20" s="167">
        <v>0.4</v>
      </c>
      <c r="F20" s="167">
        <v>0.192</v>
      </c>
      <c r="G20" s="168">
        <v>0.188</v>
      </c>
      <c r="H20" s="167">
        <v>0.18079999999999999</v>
      </c>
      <c r="I20" s="167">
        <v>3.9199999999999999E-2</v>
      </c>
    </row>
    <row r="21" spans="1:10" x14ac:dyDescent="0.25">
      <c r="D21" s="145">
        <v>6</v>
      </c>
      <c r="E21" t="s">
        <v>296</v>
      </c>
      <c r="F21" s="167">
        <v>0.215</v>
      </c>
      <c r="G21" s="168">
        <v>0.53500000000000003</v>
      </c>
      <c r="H21" s="167">
        <v>0.20549999999999999</v>
      </c>
      <c r="I21" s="167">
        <v>4.4499999999999998E-2</v>
      </c>
      <c r="J21" s="167"/>
    </row>
    <row r="22" spans="1:10" x14ac:dyDescent="0.25">
      <c r="E22" t="s">
        <v>89</v>
      </c>
      <c r="F22" t="s">
        <v>292</v>
      </c>
      <c r="G22" s="160" t="s">
        <v>293</v>
      </c>
      <c r="H22" t="s">
        <v>294</v>
      </c>
      <c r="I22" t="s">
        <v>295</v>
      </c>
    </row>
    <row r="23" spans="1:10" s="169" customFormat="1" ht="46.5" customHeight="1" thickBot="1" x14ac:dyDescent="0.3">
      <c r="A23"/>
      <c r="B23" s="160"/>
      <c r="D23" s="171" t="s">
        <v>297</v>
      </c>
      <c r="E23" s="172">
        <v>0.05</v>
      </c>
      <c r="F23" s="172">
        <v>0.32</v>
      </c>
      <c r="G23" s="172">
        <v>0.31330000000000002</v>
      </c>
      <c r="H23" s="172">
        <v>0.30130000000000001</v>
      </c>
      <c r="I23" s="172">
        <v>6.54E-2</v>
      </c>
    </row>
    <row r="24" spans="1:10" x14ac:dyDescent="0.25">
      <c r="F24" s="167"/>
      <c r="G24" s="167"/>
      <c r="H24" s="167"/>
      <c r="I24" s="167"/>
    </row>
    <row r="25" spans="1:10" x14ac:dyDescent="0.25">
      <c r="F25" s="167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C18" sqref="C18:E18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173"/>
      <c r="H4" s="15"/>
    </row>
    <row r="5" spans="1:9" x14ac:dyDescent="0.25">
      <c r="A5" s="5" t="s">
        <v>4</v>
      </c>
      <c r="B5" s="36" t="s">
        <v>109</v>
      </c>
      <c r="C5" s="195"/>
      <c r="D5" s="196"/>
      <c r="H5" s="15"/>
    </row>
    <row r="6" spans="1:9" x14ac:dyDescent="0.25">
      <c r="A6" s="5" t="s">
        <v>6</v>
      </c>
      <c r="B6" s="36" t="s">
        <v>110</v>
      </c>
      <c r="C6" s="196"/>
      <c r="D6" s="196"/>
      <c r="H6" s="15"/>
    </row>
    <row r="7" spans="1:9" ht="25.5" x14ac:dyDescent="0.25">
      <c r="A7" s="5" t="s">
        <v>8</v>
      </c>
      <c r="B7" s="36" t="s">
        <v>111</v>
      </c>
      <c r="C7" s="196"/>
      <c r="D7" s="196"/>
      <c r="H7" s="15"/>
    </row>
    <row r="8" spans="1:9" x14ac:dyDescent="0.25">
      <c r="A8" s="5" t="s">
        <v>10</v>
      </c>
      <c r="B8" s="36" t="s">
        <v>112</v>
      </c>
      <c r="C8" s="196"/>
      <c r="D8" s="196"/>
      <c r="H8" s="15"/>
    </row>
    <row r="9" spans="1:9" x14ac:dyDescent="0.25">
      <c r="A9" s="197"/>
      <c r="B9" s="197"/>
      <c r="C9" s="197"/>
      <c r="D9" s="197"/>
      <c r="E9" s="21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203" t="s">
        <v>79</v>
      </c>
      <c r="B11" s="203"/>
      <c r="C11" s="33" t="s">
        <v>80</v>
      </c>
      <c r="D11" s="87" t="s">
        <v>81</v>
      </c>
      <c r="E11" s="87" t="s">
        <v>188</v>
      </c>
    </row>
    <row r="12" spans="1:9" ht="15.75" customHeight="1" x14ac:dyDescent="0.25">
      <c r="A12" s="204" t="s">
        <v>104</v>
      </c>
      <c r="B12" s="204"/>
      <c r="C12" s="201" t="s">
        <v>82</v>
      </c>
      <c r="D12" s="201">
        <v>2</v>
      </c>
      <c r="E12" s="206">
        <v>1</v>
      </c>
    </row>
    <row r="13" spans="1:9" x14ac:dyDescent="0.25">
      <c r="A13" s="205"/>
      <c r="B13" s="205"/>
      <c r="C13" s="202"/>
      <c r="D13" s="202"/>
      <c r="E13" s="207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193" t="s">
        <v>104</v>
      </c>
      <c r="D15" s="193"/>
      <c r="E15" s="193"/>
      <c r="F15" s="37"/>
    </row>
    <row r="16" spans="1:9" x14ac:dyDescent="0.25">
      <c r="A16" s="39">
        <v>2</v>
      </c>
      <c r="B16" s="38" t="s">
        <v>114</v>
      </c>
      <c r="C16" s="193"/>
      <c r="D16" s="193"/>
      <c r="E16" s="193"/>
      <c r="F16" s="37"/>
    </row>
    <row r="17" spans="1:6" x14ac:dyDescent="0.25">
      <c r="A17" s="39">
        <v>3</v>
      </c>
      <c r="B17" s="38" t="s">
        <v>115</v>
      </c>
      <c r="C17" s="194">
        <f>$D$25+$D$30</f>
        <v>1356.22</v>
      </c>
      <c r="D17" s="194"/>
      <c r="E17" s="194"/>
      <c r="F17" s="37"/>
    </row>
    <row r="18" spans="1:6" x14ac:dyDescent="0.25">
      <c r="A18" s="39">
        <v>4</v>
      </c>
      <c r="B18" s="38" t="s">
        <v>116</v>
      </c>
      <c r="C18" s="193" t="s">
        <v>153</v>
      </c>
      <c r="D18" s="193"/>
      <c r="E18" s="193"/>
      <c r="F18" s="37"/>
    </row>
    <row r="19" spans="1:6" x14ac:dyDescent="0.25">
      <c r="A19" s="39">
        <v>5</v>
      </c>
      <c r="B19" s="38" t="s">
        <v>117</v>
      </c>
      <c r="C19" s="192"/>
      <c r="D19" s="193"/>
      <c r="E19" s="193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20">
        <v>1</v>
      </c>
      <c r="B24" s="40" t="s">
        <v>2</v>
      </c>
      <c r="C24" s="20" t="s">
        <v>24</v>
      </c>
      <c r="D24" s="20" t="s">
        <v>3</v>
      </c>
      <c r="E24" s="32" t="s">
        <v>129</v>
      </c>
    </row>
    <row r="25" spans="1:6" x14ac:dyDescent="0.25">
      <c r="A25" s="5" t="s">
        <v>4</v>
      </c>
      <c r="B25" s="36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36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36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36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36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36" t="s">
        <v>105</v>
      </c>
      <c r="C30" s="13"/>
      <c r="D30" s="6">
        <v>50.31</v>
      </c>
      <c r="E30" s="22" t="s">
        <v>140</v>
      </c>
    </row>
    <row r="31" spans="1:6" x14ac:dyDescent="0.25">
      <c r="A31" s="190" t="s">
        <v>15</v>
      </c>
      <c r="B31" s="191"/>
      <c r="C31" s="10"/>
      <c r="D31" s="10">
        <f>SUM(D25:D30)</f>
        <v>1356.22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20" t="s">
        <v>18</v>
      </c>
      <c r="B38" s="20" t="s">
        <v>19</v>
      </c>
      <c r="C38" s="20" t="s">
        <v>24</v>
      </c>
      <c r="D38" s="20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190" t="s">
        <v>15</v>
      </c>
      <c r="B42" s="191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2" t="s">
        <v>22</v>
      </c>
      <c r="B47" s="32" t="s">
        <v>23</v>
      </c>
      <c r="C47" s="32" t="s">
        <v>24</v>
      </c>
      <c r="D47" s="20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190" t="s">
        <v>34</v>
      </c>
      <c r="B56" s="191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2" t="s">
        <v>36</v>
      </c>
      <c r="B61" s="190" t="s">
        <v>37</v>
      </c>
      <c r="C61" s="191"/>
      <c r="D61" s="20" t="s">
        <v>3</v>
      </c>
      <c r="E61" s="32" t="s">
        <v>129</v>
      </c>
    </row>
    <row r="62" spans="1:5" x14ac:dyDescent="0.25">
      <c r="A62" s="5" t="s">
        <v>4</v>
      </c>
      <c r="B62" s="199" t="s">
        <v>120</v>
      </c>
      <c r="C62" s="200"/>
      <c r="D62" s="6">
        <f>IF(VLOOKUP(B62,Beneficios!$A$1:$F$8,1,FALSE)='Servente de Limpeza'!B62,VLOOKUP(B62,Beneficios!$A$1:$F$8,6,FALSE))-$D$25*Beneficios!$E$2</f>
        <v>134.84539999999998</v>
      </c>
      <c r="E62" s="22" t="s">
        <v>140</v>
      </c>
    </row>
    <row r="63" spans="1:5" x14ac:dyDescent="0.25">
      <c r="A63" s="5" t="s">
        <v>6</v>
      </c>
      <c r="B63" s="199" t="s">
        <v>38</v>
      </c>
      <c r="C63" s="200">
        <f>22*16-(22*16)*20%</f>
        <v>281.60000000000002</v>
      </c>
      <c r="D63" s="6">
        <f>IF(VLOOKUP(B63,Beneficios!$A$1:$F$8,1,FALSE)='Servente de Limpeza'!B63,VLOOKUP(B63,Beneficios!$A$1:$F$8,6,FALSE))</f>
        <v>326.12800000000004</v>
      </c>
      <c r="E63" s="22" t="s">
        <v>218</v>
      </c>
    </row>
    <row r="64" spans="1:5" x14ac:dyDescent="0.25">
      <c r="A64" s="5" t="s">
        <v>8</v>
      </c>
      <c r="B64" s="199" t="s">
        <v>106</v>
      </c>
      <c r="C64" s="200">
        <f>120</f>
        <v>120</v>
      </c>
      <c r="D64" s="6">
        <f>IF(VLOOKUP(B64,Beneficios!$A$1:$F$8,1,FALSE)='Servente de Limpeza'!B64,VLOOKUP(B64,Beneficios!$A$1:$F$8,6,FALSE))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9" t="s">
        <v>214</v>
      </c>
      <c r="C65" s="200"/>
      <c r="D65" s="6">
        <v>49</v>
      </c>
      <c r="E65" s="22" t="s">
        <v>140</v>
      </c>
    </row>
    <row r="66" spans="1:5" x14ac:dyDescent="0.25">
      <c r="A66" s="5" t="s">
        <v>12</v>
      </c>
      <c r="B66" s="199" t="s">
        <v>192</v>
      </c>
      <c r="C66" s="200"/>
      <c r="D66" s="6"/>
      <c r="E66" s="22" t="s">
        <v>140</v>
      </c>
    </row>
    <row r="67" spans="1:5" x14ac:dyDescent="0.25">
      <c r="A67" s="5" t="s">
        <v>29</v>
      </c>
      <c r="B67" s="199" t="s">
        <v>192</v>
      </c>
      <c r="C67" s="200"/>
      <c r="D67" s="6"/>
      <c r="E67" s="22" t="s">
        <v>140</v>
      </c>
    </row>
    <row r="68" spans="1:5" x14ac:dyDescent="0.25">
      <c r="A68" s="5" t="s">
        <v>14</v>
      </c>
      <c r="B68" s="199" t="s">
        <v>192</v>
      </c>
      <c r="C68" s="200"/>
      <c r="D68" s="6"/>
      <c r="E68" s="22" t="s">
        <v>140</v>
      </c>
    </row>
    <row r="69" spans="1:5" x14ac:dyDescent="0.25">
      <c r="A69" s="190" t="s">
        <v>15</v>
      </c>
      <c r="B69" s="198"/>
      <c r="C69" s="191"/>
      <c r="D69" s="10">
        <f>SUM(D62:D68)</f>
        <v>640.77340000000004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2">
        <v>2</v>
      </c>
      <c r="B74" s="40" t="s">
        <v>40</v>
      </c>
      <c r="C74" s="44"/>
      <c r="D74" s="20" t="s">
        <v>3</v>
      </c>
      <c r="E74" s="32" t="s">
        <v>90</v>
      </c>
    </row>
    <row r="75" spans="1:5" x14ac:dyDescent="0.25">
      <c r="A75" s="5" t="s">
        <v>18</v>
      </c>
      <c r="B75" s="36" t="s">
        <v>19</v>
      </c>
      <c r="C75" s="42"/>
      <c r="D75" s="6">
        <f>D42</f>
        <v>263.70944444444444</v>
      </c>
      <c r="E75" s="22"/>
    </row>
    <row r="76" spans="1:5" x14ac:dyDescent="0.25">
      <c r="A76" s="5" t="s">
        <v>22</v>
      </c>
      <c r="B76" s="36" t="s">
        <v>23</v>
      </c>
      <c r="C76" s="42"/>
      <c r="D76" s="6">
        <f>D56</f>
        <v>644.73191888888891</v>
      </c>
      <c r="E76" s="22"/>
    </row>
    <row r="77" spans="1:5" x14ac:dyDescent="0.25">
      <c r="A77" s="5" t="s">
        <v>36</v>
      </c>
      <c r="B77" s="36" t="s">
        <v>37</v>
      </c>
      <c r="C77" s="42"/>
      <c r="D77" s="6">
        <f>D69</f>
        <v>640.77340000000004</v>
      </c>
      <c r="E77" s="22"/>
    </row>
    <row r="78" spans="1:5" x14ac:dyDescent="0.25">
      <c r="A78" s="190" t="s">
        <v>15</v>
      </c>
      <c r="B78" s="198"/>
      <c r="C78" s="191"/>
      <c r="D78" s="10">
        <f>SUM(D75:D77)</f>
        <v>1549.2147633333334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2">
        <v>3</v>
      </c>
      <c r="B83" s="32" t="s">
        <v>42</v>
      </c>
      <c r="C83" s="32" t="s">
        <v>24</v>
      </c>
      <c r="D83" s="20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8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>($D$31+$D$75)*C89</f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20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12.54533557770502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0.5942394854495987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1.0554815327677836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2.7724837433136482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6.7201582779271272</v>
      </c>
      <c r="E103" s="45"/>
    </row>
    <row r="104" spans="1:5" x14ac:dyDescent="0.25">
      <c r="A104" s="190" t="s">
        <v>34</v>
      </c>
      <c r="B104" s="198"/>
      <c r="C104" s="191"/>
      <c r="D104" s="10">
        <f>SUM(D98:D103)</f>
        <v>23.687698617163178</v>
      </c>
      <c r="E104" s="22"/>
    </row>
    <row r="107" spans="1:5" x14ac:dyDescent="0.25">
      <c r="A107" s="208" t="s">
        <v>55</v>
      </c>
      <c r="B107" s="208"/>
      <c r="C107" s="208"/>
      <c r="D107" s="208"/>
      <c r="E107" s="208"/>
    </row>
    <row r="108" spans="1:5" x14ac:dyDescent="0.25">
      <c r="A108" s="2"/>
    </row>
    <row r="109" spans="1:5" x14ac:dyDescent="0.25">
      <c r="A109" s="32" t="s">
        <v>56</v>
      </c>
      <c r="B109" s="190" t="s">
        <v>57</v>
      </c>
      <c r="C109" s="191"/>
      <c r="D109" s="20" t="s">
        <v>3</v>
      </c>
      <c r="E109" s="32" t="s">
        <v>129</v>
      </c>
    </row>
    <row r="110" spans="1:5" x14ac:dyDescent="0.25">
      <c r="A110" s="5" t="s">
        <v>4</v>
      </c>
      <c r="B110" s="199" t="s">
        <v>58</v>
      </c>
      <c r="C110" s="200"/>
      <c r="D110" s="6"/>
      <c r="E110" s="22"/>
    </row>
    <row r="111" spans="1:5" x14ac:dyDescent="0.25">
      <c r="A111" s="190" t="s">
        <v>15</v>
      </c>
      <c r="B111" s="198"/>
      <c r="C111" s="191"/>
      <c r="D111" s="6">
        <f>D110</f>
        <v>0</v>
      </c>
      <c r="E111" s="22"/>
    </row>
    <row r="114" spans="1:5" x14ac:dyDescent="0.25">
      <c r="A114" s="189" t="s">
        <v>59</v>
      </c>
      <c r="B114" s="189"/>
      <c r="C114" s="189"/>
      <c r="D114" s="189"/>
      <c r="E114" s="189"/>
    </row>
    <row r="115" spans="1:5" x14ac:dyDescent="0.25">
      <c r="A115" s="2"/>
    </row>
    <row r="116" spans="1:5" x14ac:dyDescent="0.25">
      <c r="A116" s="32">
        <v>4</v>
      </c>
      <c r="B116" s="40" t="s">
        <v>60</v>
      </c>
      <c r="C116" s="44"/>
      <c r="D116" s="20" t="s">
        <v>3</v>
      </c>
      <c r="E116" s="32" t="s">
        <v>90</v>
      </c>
    </row>
    <row r="117" spans="1:5" x14ac:dyDescent="0.25">
      <c r="A117" s="5" t="s">
        <v>49</v>
      </c>
      <c r="B117" s="36" t="s">
        <v>50</v>
      </c>
      <c r="C117" s="42"/>
      <c r="D117" s="6">
        <f>D104</f>
        <v>23.687698617163178</v>
      </c>
      <c r="E117" s="22"/>
    </row>
    <row r="118" spans="1:5" x14ac:dyDescent="0.25">
      <c r="A118" s="5" t="s">
        <v>56</v>
      </c>
      <c r="B118" s="36" t="s">
        <v>57</v>
      </c>
      <c r="C118" s="42"/>
      <c r="D118" s="6">
        <f>D111</f>
        <v>0</v>
      </c>
      <c r="E118" s="22"/>
    </row>
    <row r="119" spans="1:5" x14ac:dyDescent="0.25">
      <c r="A119" s="190" t="s">
        <v>15</v>
      </c>
      <c r="B119" s="198"/>
      <c r="C119" s="191"/>
      <c r="D119" s="10">
        <f>SUM(D117:D118)</f>
        <v>23.687698617163178</v>
      </c>
      <c r="E119" s="22"/>
    </row>
    <row r="122" spans="1:5" x14ac:dyDescent="0.25">
      <c r="A122" s="189" t="s">
        <v>61</v>
      </c>
      <c r="B122" s="189"/>
      <c r="C122" s="189"/>
      <c r="D122" s="189"/>
      <c r="E122" s="189"/>
    </row>
    <row r="124" spans="1:5" x14ac:dyDescent="0.25">
      <c r="A124" s="32">
        <v>5</v>
      </c>
      <c r="B124" s="40" t="s">
        <v>62</v>
      </c>
      <c r="C124" s="44"/>
      <c r="D124" s="32" t="s">
        <v>3</v>
      </c>
      <c r="E124" s="32" t="s">
        <v>90</v>
      </c>
    </row>
    <row r="125" spans="1:5" x14ac:dyDescent="0.25">
      <c r="A125" s="5" t="s">
        <v>4</v>
      </c>
      <c r="B125" s="36" t="s">
        <v>63</v>
      </c>
      <c r="C125" s="42"/>
      <c r="D125" s="6">
        <f>SUMIFS(Uniformes!G:G,Uniformes!H:H,'Servente de Limpeza'!$C$18)</f>
        <v>31.443333333333332</v>
      </c>
      <c r="E125" s="45" t="s">
        <v>189</v>
      </c>
    </row>
    <row r="126" spans="1:5" x14ac:dyDescent="0.25">
      <c r="A126" s="5" t="s">
        <v>6</v>
      </c>
      <c r="B126" s="36" t="s">
        <v>64</v>
      </c>
      <c r="C126" s="42"/>
      <c r="D126" s="6">
        <f>SUMIFS(Materiais!H:H,Materiais!I:I,'Servente de Limpeza'!C18)/SUM(Resumo!H5:H7)</f>
        <v>1484.6925000000003</v>
      </c>
      <c r="E126" s="45" t="s">
        <v>189</v>
      </c>
    </row>
    <row r="127" spans="1:5" x14ac:dyDescent="0.25">
      <c r="A127" s="5" t="s">
        <v>8</v>
      </c>
      <c r="B127" s="36" t="s">
        <v>65</v>
      </c>
      <c r="C127" s="42"/>
      <c r="D127" s="6">
        <f>IFERROR(SUMIFS(Equipamentos!J:J,Equipamentos!K:K,'Servente de Limpeza'!$C$18)/SUM(Resumo!H5:H7),0)</f>
        <v>13.59965</v>
      </c>
      <c r="E127" s="45" t="s">
        <v>193</v>
      </c>
    </row>
    <row r="128" spans="1:5" x14ac:dyDescent="0.25">
      <c r="A128" s="5" t="s">
        <v>10</v>
      </c>
      <c r="B128" s="64" t="s">
        <v>155</v>
      </c>
      <c r="C128" s="65"/>
      <c r="D128" s="6">
        <f>SUMIFS(EPIs!G:G,EPIs!H:H,'Servente de Limpeza'!$C$18)</f>
        <v>79.185000000000002</v>
      </c>
      <c r="E128" s="45" t="s">
        <v>189</v>
      </c>
    </row>
    <row r="129" spans="1:5" x14ac:dyDescent="0.25">
      <c r="A129" s="5" t="s">
        <v>12</v>
      </c>
      <c r="B129" s="36" t="s">
        <v>363</v>
      </c>
      <c r="C129" s="42"/>
      <c r="D129" s="6">
        <f>SUMIFS(Utensílios!G:G,Utensílios!H:H,'Servente de Limpeza'!C18)/SUM(Resumo!H5:H7)</f>
        <v>90.879791666666677</v>
      </c>
      <c r="E129" s="45" t="s">
        <v>189</v>
      </c>
    </row>
    <row r="130" spans="1:5" x14ac:dyDescent="0.25">
      <c r="A130" s="190" t="s">
        <v>34</v>
      </c>
      <c r="B130" s="198"/>
      <c r="C130" s="191"/>
      <c r="D130" s="10">
        <f>SUM(D125:D129)</f>
        <v>1699.8002750000005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2">
        <v>6</v>
      </c>
      <c r="B135" s="11" t="s">
        <v>67</v>
      </c>
      <c r="C135" s="32" t="s">
        <v>24</v>
      </c>
      <c r="D135" s="20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237.25223396465455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498.22969132577458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910.75806548472497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105.45619705612604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485.73763492518657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Real",Informações!$B$5)))</f>
        <v>0.05</v>
      </c>
      <c r="D144" s="6">
        <f>(($D$31+$D$78+$D$90+$D$119+$D$130+$D$136+$D$137)/(1-$C$138))*C144</f>
        <v>319.56423350341225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1646.2399907751542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2"/>
      <c r="B150" s="40" t="s">
        <v>74</v>
      </c>
      <c r="C150" s="44"/>
      <c r="D150" s="20" t="s">
        <v>3</v>
      </c>
      <c r="E150" s="20" t="s">
        <v>90</v>
      </c>
    </row>
    <row r="151" spans="1:5" x14ac:dyDescent="0.25">
      <c r="A151" s="5" t="s">
        <v>4</v>
      </c>
      <c r="B151" s="36" t="s">
        <v>1</v>
      </c>
      <c r="C151" s="42"/>
      <c r="D151" s="6">
        <f>D31</f>
        <v>1356.22</v>
      </c>
      <c r="E151" s="22"/>
    </row>
    <row r="152" spans="1:5" x14ac:dyDescent="0.25">
      <c r="A152" s="5" t="s">
        <v>6</v>
      </c>
      <c r="B152" s="36" t="s">
        <v>16</v>
      </c>
      <c r="C152" s="42"/>
      <c r="D152" s="6">
        <f>D78</f>
        <v>1549.2147633333334</v>
      </c>
      <c r="E152" s="22"/>
    </row>
    <row r="153" spans="1:5" x14ac:dyDescent="0.25">
      <c r="A153" s="5" t="s">
        <v>8</v>
      </c>
      <c r="B153" s="36" t="s">
        <v>41</v>
      </c>
      <c r="C153" s="42"/>
      <c r="D153" s="6">
        <f>D90</f>
        <v>116.12194234259259</v>
      </c>
      <c r="E153" s="22"/>
    </row>
    <row r="154" spans="1:5" x14ac:dyDescent="0.25">
      <c r="A154" s="5" t="s">
        <v>10</v>
      </c>
      <c r="B154" s="36" t="s">
        <v>47</v>
      </c>
      <c r="C154" s="41"/>
      <c r="D154" s="6">
        <f>D119</f>
        <v>23.687698617163178</v>
      </c>
      <c r="E154" s="22"/>
    </row>
    <row r="155" spans="1:5" x14ac:dyDescent="0.25">
      <c r="A155" s="5" t="s">
        <v>12</v>
      </c>
      <c r="B155" s="36" t="s">
        <v>61</v>
      </c>
      <c r="C155" s="41"/>
      <c r="D155" s="6">
        <f>D130</f>
        <v>1699.8002750000005</v>
      </c>
      <c r="E155" s="22"/>
    </row>
    <row r="156" spans="1:5" ht="15.75" customHeight="1" x14ac:dyDescent="0.25">
      <c r="A156" s="190" t="s">
        <v>75</v>
      </c>
      <c r="B156" s="198"/>
      <c r="C156" s="191"/>
      <c r="D156" s="10">
        <f>SUM(D151:D155)</f>
        <v>4745.0446792930907</v>
      </c>
      <c r="E156" s="22"/>
    </row>
    <row r="157" spans="1:5" x14ac:dyDescent="0.25">
      <c r="A157" s="23" t="s">
        <v>29</v>
      </c>
      <c r="B157" s="36" t="s">
        <v>76</v>
      </c>
      <c r="C157" s="41"/>
      <c r="D157" s="6">
        <f>D145</f>
        <v>1646.2399907751542</v>
      </c>
      <c r="E157" s="22"/>
    </row>
    <row r="158" spans="1:5" ht="15.75" customHeight="1" x14ac:dyDescent="0.25">
      <c r="A158" s="190" t="s">
        <v>77</v>
      </c>
      <c r="B158" s="198"/>
      <c r="C158" s="191"/>
      <c r="D158" s="10">
        <f>D156+D157</f>
        <v>6391.2846700682448</v>
      </c>
      <c r="E158" s="22"/>
    </row>
    <row r="159" spans="1:5" ht="15.75" customHeight="1" x14ac:dyDescent="0.25">
      <c r="A159" s="190" t="s">
        <v>83</v>
      </c>
      <c r="B159" s="198"/>
      <c r="C159" s="191"/>
      <c r="D159" s="10">
        <f>D158*$E$12*$D$12</f>
        <v>12782.56934013649</v>
      </c>
      <c r="E159" s="22"/>
    </row>
    <row r="160" spans="1:5" ht="15.75" customHeight="1" x14ac:dyDescent="0.25">
      <c r="A160" s="190" t="s">
        <v>84</v>
      </c>
      <c r="B160" s="198"/>
      <c r="C160" s="191"/>
      <c r="D160" s="10">
        <f>D159*12</f>
        <v>153390.83208163787</v>
      </c>
      <c r="E160" s="22"/>
    </row>
  </sheetData>
  <mergeCells count="54">
    <mergeCell ref="A72:E72"/>
    <mergeCell ref="A81:E81"/>
    <mergeCell ref="A93:E93"/>
    <mergeCell ref="A95:E95"/>
    <mergeCell ref="A114:E114"/>
    <mergeCell ref="B110:C110"/>
    <mergeCell ref="A111:C111"/>
    <mergeCell ref="A104:C104"/>
    <mergeCell ref="A107:E107"/>
    <mergeCell ref="B109:C109"/>
    <mergeCell ref="A78:C78"/>
    <mergeCell ref="A36:E36"/>
    <mergeCell ref="C12:C13"/>
    <mergeCell ref="A11:B11"/>
    <mergeCell ref="A12:B13"/>
    <mergeCell ref="D12:D13"/>
    <mergeCell ref="E12:E13"/>
    <mergeCell ref="A160:C160"/>
    <mergeCell ref="A130:C130"/>
    <mergeCell ref="A119:C119"/>
    <mergeCell ref="A156:C156"/>
    <mergeCell ref="A158:C158"/>
    <mergeCell ref="A159:C159"/>
    <mergeCell ref="A122:E122"/>
    <mergeCell ref="A133:E133"/>
    <mergeCell ref="A148:E148"/>
    <mergeCell ref="A69:C69"/>
    <mergeCell ref="A42:B42"/>
    <mergeCell ref="A56:B56"/>
    <mergeCell ref="B64:C64"/>
    <mergeCell ref="B65:C65"/>
    <mergeCell ref="B66:C66"/>
    <mergeCell ref="B67:C67"/>
    <mergeCell ref="B68:C68"/>
    <mergeCell ref="A45:E45"/>
    <mergeCell ref="A59:E59"/>
    <mergeCell ref="B62:C62"/>
    <mergeCell ref="B63:C63"/>
    <mergeCell ref="A1:E1"/>
    <mergeCell ref="A10:E10"/>
    <mergeCell ref="B61:C61"/>
    <mergeCell ref="A31:B31"/>
    <mergeCell ref="C19:E19"/>
    <mergeCell ref="C15:E15"/>
    <mergeCell ref="C16:E16"/>
    <mergeCell ref="C17:E17"/>
    <mergeCell ref="C18:E18"/>
    <mergeCell ref="C5:D5"/>
    <mergeCell ref="C6:D6"/>
    <mergeCell ref="C7:D7"/>
    <mergeCell ref="C8:D8"/>
    <mergeCell ref="A9:D9"/>
    <mergeCell ref="A22:E22"/>
    <mergeCell ref="A34:E34"/>
  </mergeCells>
  <dataValidations count="2">
    <dataValidation type="list" allowBlank="1" showInputMessage="1" showErrorMessage="1" sqref="G1">
      <formula1>$J$1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abSelected="1" topLeftCell="A94" zoomScaleNormal="100" workbookViewId="0">
      <selection activeCell="H123" sqref="H123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88"/>
      <c r="H4" s="15"/>
    </row>
    <row r="5" spans="1:9" x14ac:dyDescent="0.25">
      <c r="A5" s="5" t="s">
        <v>4</v>
      </c>
      <c r="B5" s="94" t="s">
        <v>109</v>
      </c>
      <c r="C5" s="195"/>
      <c r="D5" s="196"/>
      <c r="H5" s="15"/>
    </row>
    <row r="6" spans="1:9" x14ac:dyDescent="0.25">
      <c r="A6" s="5" t="s">
        <v>6</v>
      </c>
      <c r="B6" s="94" t="s">
        <v>110</v>
      </c>
      <c r="C6" s="196"/>
      <c r="D6" s="196"/>
      <c r="H6" s="15"/>
    </row>
    <row r="7" spans="1:9" ht="25.5" x14ac:dyDescent="0.25">
      <c r="A7" s="5" t="s">
        <v>8</v>
      </c>
      <c r="B7" s="94" t="s">
        <v>111</v>
      </c>
      <c r="C7" s="196"/>
      <c r="D7" s="196"/>
      <c r="H7" s="15"/>
    </row>
    <row r="8" spans="1:9" x14ac:dyDescent="0.25">
      <c r="A8" s="5" t="s">
        <v>10</v>
      </c>
      <c r="B8" s="94" t="s">
        <v>112</v>
      </c>
      <c r="C8" s="196"/>
      <c r="D8" s="196"/>
      <c r="H8" s="15"/>
    </row>
    <row r="9" spans="1:9" x14ac:dyDescent="0.25">
      <c r="A9" s="197"/>
      <c r="B9" s="197"/>
      <c r="C9" s="197"/>
      <c r="D9" s="197"/>
      <c r="E9" s="93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203" t="s">
        <v>79</v>
      </c>
      <c r="B11" s="203"/>
      <c r="C11" s="87" t="s">
        <v>80</v>
      </c>
      <c r="D11" s="87" t="s">
        <v>81</v>
      </c>
      <c r="E11" s="87" t="s">
        <v>188</v>
      </c>
    </row>
    <row r="12" spans="1:9" ht="15.75" customHeight="1" x14ac:dyDescent="0.25">
      <c r="A12" s="204" t="s">
        <v>104</v>
      </c>
      <c r="B12" s="204"/>
      <c r="C12" s="201" t="s">
        <v>82</v>
      </c>
      <c r="D12" s="201">
        <v>2</v>
      </c>
      <c r="E12" s="206">
        <v>1</v>
      </c>
    </row>
    <row r="13" spans="1:9" x14ac:dyDescent="0.25">
      <c r="A13" s="205"/>
      <c r="B13" s="205"/>
      <c r="C13" s="202"/>
      <c r="D13" s="202"/>
      <c r="E13" s="207"/>
    </row>
    <row r="14" spans="1:9" x14ac:dyDescent="0.25">
      <c r="A14" s="4"/>
      <c r="B14" s="4"/>
      <c r="C14" s="4"/>
      <c r="D14" s="4"/>
      <c r="E14" s="4"/>
    </row>
    <row r="15" spans="1:9" x14ac:dyDescent="0.25">
      <c r="A15" s="92">
        <v>1</v>
      </c>
      <c r="B15" s="38" t="s">
        <v>113</v>
      </c>
      <c r="C15" s="193"/>
      <c r="D15" s="193"/>
      <c r="E15" s="193"/>
      <c r="F15" s="37"/>
    </row>
    <row r="16" spans="1:9" x14ac:dyDescent="0.25">
      <c r="A16" s="92">
        <v>2</v>
      </c>
      <c r="B16" s="38" t="s">
        <v>114</v>
      </c>
      <c r="C16" s="193"/>
      <c r="D16" s="193"/>
      <c r="E16" s="193"/>
      <c r="F16" s="37"/>
    </row>
    <row r="17" spans="1:6" x14ac:dyDescent="0.25">
      <c r="A17" s="92">
        <v>3</v>
      </c>
      <c r="B17" s="38" t="s">
        <v>115</v>
      </c>
      <c r="C17" s="194">
        <f>$D$25+$D$30</f>
        <v>1356.22</v>
      </c>
      <c r="D17" s="194"/>
      <c r="E17" s="194"/>
      <c r="F17" s="37"/>
    </row>
    <row r="18" spans="1:6" x14ac:dyDescent="0.25">
      <c r="A18" s="92">
        <v>4</v>
      </c>
      <c r="B18" s="38" t="s">
        <v>116</v>
      </c>
      <c r="C18" s="193" t="s">
        <v>213</v>
      </c>
      <c r="D18" s="193"/>
      <c r="E18" s="193"/>
      <c r="F18" s="37"/>
    </row>
    <row r="19" spans="1:6" x14ac:dyDescent="0.25">
      <c r="A19" s="92">
        <v>5</v>
      </c>
      <c r="B19" s="38" t="s">
        <v>117</v>
      </c>
      <c r="C19" s="192"/>
      <c r="D19" s="193"/>
      <c r="E19" s="193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2">
        <v>1</v>
      </c>
      <c r="B24" s="90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94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94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94" t="s">
        <v>9</v>
      </c>
      <c r="C27" s="13">
        <v>0.4</v>
      </c>
      <c r="D27" s="6">
        <f>Informações!$B$3*$C$27</f>
        <v>484.8</v>
      </c>
      <c r="E27" s="22" t="s">
        <v>217</v>
      </c>
    </row>
    <row r="28" spans="1:6" x14ac:dyDescent="0.25">
      <c r="A28" s="5" t="s">
        <v>10</v>
      </c>
      <c r="B28" s="94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94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94" t="s">
        <v>105</v>
      </c>
      <c r="C30" s="13"/>
      <c r="D30" s="6">
        <v>50.31</v>
      </c>
      <c r="E30" s="22" t="s">
        <v>140</v>
      </c>
    </row>
    <row r="31" spans="1:6" x14ac:dyDescent="0.25">
      <c r="A31" s="190" t="s">
        <v>15</v>
      </c>
      <c r="B31" s="191"/>
      <c r="C31" s="10"/>
      <c r="D31" s="10">
        <f>SUM(D25:D30)</f>
        <v>1841.02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190" t="s">
        <v>15</v>
      </c>
      <c r="B42" s="191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190" t="s">
        <v>34</v>
      </c>
      <c r="B56" s="191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2" t="s">
        <v>36</v>
      </c>
      <c r="B61" s="190" t="s">
        <v>37</v>
      </c>
      <c r="C61" s="191"/>
      <c r="D61" s="32" t="s">
        <v>3</v>
      </c>
      <c r="E61" s="32" t="s">
        <v>129</v>
      </c>
    </row>
    <row r="62" spans="1:5" ht="64.5" x14ac:dyDescent="0.25">
      <c r="A62" s="5" t="s">
        <v>4</v>
      </c>
      <c r="B62" s="199" t="s">
        <v>120</v>
      </c>
      <c r="C62" s="200"/>
      <c r="D62" s="6">
        <f>IF(VLOOKUP(B62,Beneficios!$A$1:$F$8,1,FALSE)='Servente de Limpeza - Banheiro'!B62,VLOOKUP(B62,Beneficios!$A$1:$F$8,6,FALSE))-$D$25*Beneficios!$E$2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199" t="s">
        <v>38</v>
      </c>
      <c r="C63" s="200">
        <f>22*16-(22*16)*20%</f>
        <v>281.60000000000002</v>
      </c>
      <c r="D63" s="6">
        <f>IF(VLOOKUP(B63,Beneficios!$A$1:$F$8,1,FALSE)='Servente de Limpeza - Banheiro'!B63,VLOOKUP(B63,Beneficios!$A$1:$F$8,6,FALSE))</f>
        <v>326.12800000000004</v>
      </c>
      <c r="E63" s="22" t="s">
        <v>218</v>
      </c>
    </row>
    <row r="64" spans="1:5" x14ac:dyDescent="0.25">
      <c r="A64" s="5" t="s">
        <v>8</v>
      </c>
      <c r="B64" s="199" t="s">
        <v>106</v>
      </c>
      <c r="C64" s="200">
        <f>120</f>
        <v>120</v>
      </c>
      <c r="D64" s="6">
        <f>IF(VLOOKUP(B64,Beneficios!$A$1:$F$8,1,FALSE)='Servente de Limpeza - Banheiro'!B64,VLOOKUP(B64,Beneficios!$A$1:$F$8,6,FALSE))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9" t="s">
        <v>214</v>
      </c>
      <c r="C65" s="200"/>
      <c r="D65" s="6">
        <v>49</v>
      </c>
      <c r="E65" s="22" t="s">
        <v>140</v>
      </c>
    </row>
    <row r="66" spans="1:5" x14ac:dyDescent="0.25">
      <c r="A66" s="5" t="s">
        <v>12</v>
      </c>
      <c r="B66" s="199"/>
      <c r="C66" s="200"/>
      <c r="D66" s="6"/>
      <c r="E66" s="22"/>
    </row>
    <row r="67" spans="1:5" x14ac:dyDescent="0.25">
      <c r="A67" s="5" t="s">
        <v>29</v>
      </c>
      <c r="B67" s="199"/>
      <c r="C67" s="200"/>
      <c r="D67" s="6"/>
      <c r="E67" s="22"/>
    </row>
    <row r="68" spans="1:5" x14ac:dyDescent="0.25">
      <c r="A68" s="5" t="s">
        <v>14</v>
      </c>
      <c r="B68" s="199"/>
      <c r="C68" s="200"/>
      <c r="D68" s="6"/>
      <c r="E68" s="22"/>
    </row>
    <row r="69" spans="1:5" x14ac:dyDescent="0.25">
      <c r="A69" s="190" t="s">
        <v>15</v>
      </c>
      <c r="B69" s="198"/>
      <c r="C69" s="191"/>
      <c r="D69" s="10">
        <f>SUM(D62:D68)</f>
        <v>640.77340000000004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2">
        <v>2</v>
      </c>
      <c r="B74" s="90" t="s">
        <v>40</v>
      </c>
      <c r="C74" s="91"/>
      <c r="D74" s="32" t="s">
        <v>3</v>
      </c>
      <c r="E74" s="32" t="s">
        <v>90</v>
      </c>
    </row>
    <row r="75" spans="1:5" x14ac:dyDescent="0.25">
      <c r="A75" s="5" t="s">
        <v>18</v>
      </c>
      <c r="B75" s="94" t="s">
        <v>19</v>
      </c>
      <c r="C75" s="95"/>
      <c r="D75" s="6">
        <f>D42</f>
        <v>357.97611111111109</v>
      </c>
      <c r="E75" s="22"/>
    </row>
    <row r="76" spans="1:5" x14ac:dyDescent="0.25">
      <c r="A76" s="5" t="s">
        <v>22</v>
      </c>
      <c r="B76" s="94" t="s">
        <v>23</v>
      </c>
      <c r="C76" s="95"/>
      <c r="D76" s="6">
        <f>D56</f>
        <v>875.20045222222234</v>
      </c>
      <c r="E76" s="22"/>
    </row>
    <row r="77" spans="1:5" x14ac:dyDescent="0.25">
      <c r="A77" s="5" t="s">
        <v>36</v>
      </c>
      <c r="B77" s="94" t="s">
        <v>37</v>
      </c>
      <c r="C77" s="95"/>
      <c r="D77" s="6">
        <f>D69</f>
        <v>640.77340000000004</v>
      </c>
      <c r="E77" s="22"/>
    </row>
    <row r="78" spans="1:5" x14ac:dyDescent="0.25">
      <c r="A78" s="190" t="s">
        <v>15</v>
      </c>
      <c r="B78" s="198"/>
      <c r="C78" s="191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190" t="s">
        <v>34</v>
      </c>
      <c r="B104" s="198"/>
      <c r="C104" s="191"/>
      <c r="D104" s="10">
        <f>SUM(D98:D103)</f>
        <v>30.359520675311778</v>
      </c>
      <c r="E104" s="22"/>
    </row>
    <row r="107" spans="1:5" x14ac:dyDescent="0.25">
      <c r="A107" s="208" t="s">
        <v>55</v>
      </c>
      <c r="B107" s="208"/>
      <c r="C107" s="208"/>
      <c r="D107" s="208"/>
      <c r="E107" s="208"/>
    </row>
    <row r="108" spans="1:5" x14ac:dyDescent="0.25">
      <c r="A108" s="2"/>
    </row>
    <row r="109" spans="1:5" x14ac:dyDescent="0.25">
      <c r="A109" s="32" t="s">
        <v>56</v>
      </c>
      <c r="B109" s="190" t="s">
        <v>57</v>
      </c>
      <c r="C109" s="191"/>
      <c r="D109" s="32" t="s">
        <v>3</v>
      </c>
      <c r="E109" s="32" t="s">
        <v>129</v>
      </c>
    </row>
    <row r="110" spans="1:5" x14ac:dyDescent="0.25">
      <c r="A110" s="5" t="s">
        <v>4</v>
      </c>
      <c r="B110" s="199" t="s">
        <v>58</v>
      </c>
      <c r="C110" s="200"/>
      <c r="D110" s="6"/>
      <c r="E110" s="22"/>
    </row>
    <row r="111" spans="1:5" x14ac:dyDescent="0.25">
      <c r="A111" s="190" t="s">
        <v>15</v>
      </c>
      <c r="B111" s="198"/>
      <c r="C111" s="191"/>
      <c r="D111" s="6">
        <f>D110</f>
        <v>0</v>
      </c>
      <c r="E111" s="22"/>
    </row>
    <row r="114" spans="1:8" x14ac:dyDescent="0.25">
      <c r="A114" s="189" t="s">
        <v>59</v>
      </c>
      <c r="B114" s="189"/>
      <c r="C114" s="189"/>
      <c r="D114" s="189"/>
      <c r="E114" s="189"/>
    </row>
    <row r="115" spans="1:8" x14ac:dyDescent="0.25">
      <c r="A115" s="2"/>
    </row>
    <row r="116" spans="1:8" x14ac:dyDescent="0.25">
      <c r="A116" s="32">
        <v>4</v>
      </c>
      <c r="B116" s="90" t="s">
        <v>60</v>
      </c>
      <c r="C116" s="91"/>
      <c r="D116" s="32" t="s">
        <v>3</v>
      </c>
      <c r="E116" s="32" t="s">
        <v>90</v>
      </c>
    </row>
    <row r="117" spans="1:8" x14ac:dyDescent="0.25">
      <c r="A117" s="5" t="s">
        <v>49</v>
      </c>
      <c r="B117" s="94" t="s">
        <v>50</v>
      </c>
      <c r="C117" s="95"/>
      <c r="D117" s="6">
        <f>D104</f>
        <v>30.359520675311778</v>
      </c>
      <c r="E117" s="22"/>
    </row>
    <row r="118" spans="1:8" x14ac:dyDescent="0.25">
      <c r="A118" s="5" t="s">
        <v>56</v>
      </c>
      <c r="B118" s="94" t="s">
        <v>57</v>
      </c>
      <c r="C118" s="95"/>
      <c r="D118" s="6">
        <f>D111</f>
        <v>0</v>
      </c>
      <c r="E118" s="22"/>
    </row>
    <row r="119" spans="1:8" x14ac:dyDescent="0.25">
      <c r="A119" s="190" t="s">
        <v>15</v>
      </c>
      <c r="B119" s="198"/>
      <c r="C119" s="191"/>
      <c r="D119" s="10">
        <f>SUM(D117:D118)</f>
        <v>30.359520675311778</v>
      </c>
      <c r="E119" s="22"/>
    </row>
    <row r="122" spans="1:8" x14ac:dyDescent="0.25">
      <c r="A122" s="189" t="s">
        <v>61</v>
      </c>
      <c r="B122" s="189"/>
      <c r="C122" s="189"/>
      <c r="D122" s="189"/>
      <c r="E122" s="189"/>
    </row>
    <row r="123" spans="1:8" x14ac:dyDescent="0.25">
      <c r="H123" s="1">
        <v>0</v>
      </c>
    </row>
    <row r="124" spans="1:8" x14ac:dyDescent="0.25">
      <c r="A124" s="32">
        <v>5</v>
      </c>
      <c r="B124" s="90" t="s">
        <v>62</v>
      </c>
      <c r="C124" s="91"/>
      <c r="D124" s="32" t="s">
        <v>3</v>
      </c>
      <c r="E124" s="32" t="s">
        <v>90</v>
      </c>
    </row>
    <row r="125" spans="1:8" x14ac:dyDescent="0.25">
      <c r="A125" s="5" t="s">
        <v>4</v>
      </c>
      <c r="B125" s="94" t="s">
        <v>63</v>
      </c>
      <c r="C125" s="95"/>
      <c r="D125" s="6">
        <f>SUMIFS(Uniformes!G:G,Uniformes!H:H,"Servente de Limpeza")</f>
        <v>31.443333333333332</v>
      </c>
      <c r="E125" s="45" t="s">
        <v>189</v>
      </c>
    </row>
    <row r="126" spans="1:8" x14ac:dyDescent="0.25">
      <c r="A126" s="5" t="s">
        <v>6</v>
      </c>
      <c r="B126" s="94" t="s">
        <v>64</v>
      </c>
      <c r="C126" s="95"/>
      <c r="D126" s="6">
        <f>SUMIFS(Materiais!H:H,Materiais!I:I,'Servente de Limpeza'!C18)/SUM(Resumo!H5:H7)</f>
        <v>1484.6925000000003</v>
      </c>
      <c r="E126" s="45" t="s">
        <v>189</v>
      </c>
    </row>
    <row r="127" spans="1:8" x14ac:dyDescent="0.25">
      <c r="A127" s="5" t="s">
        <v>8</v>
      </c>
      <c r="B127" s="94" t="s">
        <v>65</v>
      </c>
      <c r="C127" s="95"/>
      <c r="D127" s="6">
        <f>IFERROR(SUMIFS(Equipamentos!J:J,Equipamentos!K:K,'Servente de Limpeza'!$C$18)/SUM(Resumo!H5:H7),0)</f>
        <v>13.59965</v>
      </c>
      <c r="E127" s="45" t="s">
        <v>193</v>
      </c>
    </row>
    <row r="128" spans="1:8" x14ac:dyDescent="0.25">
      <c r="A128" s="5" t="s">
        <v>10</v>
      </c>
      <c r="B128" s="94" t="s">
        <v>155</v>
      </c>
      <c r="C128" s="95"/>
      <c r="D128" s="6">
        <f>SUMIFS(EPIs!G:G,EPIs!H:H,'Servente de Limpeza'!$C$18)</f>
        <v>79.185000000000002</v>
      </c>
      <c r="E128" s="22"/>
    </row>
    <row r="129" spans="1:5" x14ac:dyDescent="0.25">
      <c r="A129" s="5" t="s">
        <v>12</v>
      </c>
      <c r="B129" s="94" t="s">
        <v>367</v>
      </c>
      <c r="C129" s="95"/>
      <c r="D129" s="6">
        <f>SUMIFS(Utensílios!G:G,Utensílios!H:H,'Servente de Limpeza'!C18)/SUM(Resumo!H5:H7)</f>
        <v>90.879791666666677</v>
      </c>
      <c r="E129" s="66"/>
    </row>
    <row r="130" spans="1:5" x14ac:dyDescent="0.25">
      <c r="A130" s="190" t="s">
        <v>34</v>
      </c>
      <c r="B130" s="198"/>
      <c r="C130" s="191"/>
      <c r="D130" s="10">
        <f>SUM(D125:D129)</f>
        <v>1699.8002750000005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280.13805651200636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588.28991867521336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659.59778760554229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117.65798373504268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541.93980387049965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Real",$G$4)))</f>
        <v>0</v>
      </c>
      <c r="D144" s="6">
        <f>(($D$31+$D$78+$D$90+$D$119+$D$130+$D$136+$D$137)/(1-$C$138))*C144</f>
        <v>0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1528.0257627927622</v>
      </c>
      <c r="E145" s="22"/>
    </row>
    <row r="148" spans="1:6" x14ac:dyDescent="0.25">
      <c r="A148" s="189" t="s">
        <v>73</v>
      </c>
      <c r="B148" s="189"/>
      <c r="C148" s="189"/>
      <c r="D148" s="189"/>
      <c r="E148" s="189"/>
    </row>
    <row r="150" spans="1:6" x14ac:dyDescent="0.25">
      <c r="A150" s="32"/>
      <c r="B150" s="90" t="s">
        <v>74</v>
      </c>
      <c r="C150" s="91"/>
      <c r="D150" s="32" t="s">
        <v>3</v>
      </c>
      <c r="E150" s="32" t="s">
        <v>90</v>
      </c>
    </row>
    <row r="151" spans="1:6" x14ac:dyDescent="0.25">
      <c r="A151" s="5" t="s">
        <v>4</v>
      </c>
      <c r="B151" s="94" t="s">
        <v>1</v>
      </c>
      <c r="C151" s="95"/>
      <c r="D151" s="6">
        <f>D31</f>
        <v>1841.02</v>
      </c>
      <c r="E151" s="22"/>
    </row>
    <row r="152" spans="1:6" x14ac:dyDescent="0.25">
      <c r="A152" s="5" t="s">
        <v>6</v>
      </c>
      <c r="B152" s="94" t="s">
        <v>16</v>
      </c>
      <c r="C152" s="95"/>
      <c r="D152" s="6">
        <f>D78</f>
        <v>1873.9499633333335</v>
      </c>
      <c r="E152" s="22"/>
    </row>
    <row r="153" spans="1:6" x14ac:dyDescent="0.25">
      <c r="A153" s="5" t="s">
        <v>8</v>
      </c>
      <c r="B153" s="94" t="s">
        <v>41</v>
      </c>
      <c r="C153" s="95"/>
      <c r="D153" s="6">
        <f>D90</f>
        <v>157.63137123148147</v>
      </c>
      <c r="E153" s="22"/>
    </row>
    <row r="154" spans="1:6" x14ac:dyDescent="0.25">
      <c r="A154" s="5" t="s">
        <v>10</v>
      </c>
      <c r="B154" s="94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94" t="s">
        <v>61</v>
      </c>
      <c r="C155" s="41"/>
      <c r="D155" s="6">
        <f>D130</f>
        <v>1699.8002750000005</v>
      </c>
      <c r="E155" s="22"/>
    </row>
    <row r="156" spans="1:6" ht="15.75" customHeight="1" x14ac:dyDescent="0.25">
      <c r="A156" s="190" t="s">
        <v>75</v>
      </c>
      <c r="B156" s="198"/>
      <c r="C156" s="191"/>
      <c r="D156" s="10">
        <f>SUM(D151:D155)</f>
        <v>5602.7611302401274</v>
      </c>
      <c r="E156" s="22"/>
    </row>
    <row r="157" spans="1:6" x14ac:dyDescent="0.25">
      <c r="A157" s="23" t="s">
        <v>29</v>
      </c>
      <c r="B157" s="94" t="s">
        <v>76</v>
      </c>
      <c r="C157" s="41"/>
      <c r="D157" s="6">
        <f>D145</f>
        <v>1528.0257627927622</v>
      </c>
      <c r="E157" s="22"/>
    </row>
    <row r="158" spans="1:6" ht="15.75" customHeight="1" x14ac:dyDescent="0.25">
      <c r="A158" s="190" t="s">
        <v>77</v>
      </c>
      <c r="B158" s="198"/>
      <c r="C158" s="191"/>
      <c r="D158" s="10">
        <f>D156+D157</f>
        <v>7130.7868930328896</v>
      </c>
      <c r="E158" s="22"/>
      <c r="F158" s="62"/>
    </row>
    <row r="159" spans="1:6" ht="15.75" customHeight="1" x14ac:dyDescent="0.25">
      <c r="A159" s="190" t="s">
        <v>83</v>
      </c>
      <c r="B159" s="198"/>
      <c r="C159" s="191"/>
      <c r="D159" s="10">
        <f>D158*$E$12*$D$12</f>
        <v>14261.573786065779</v>
      </c>
      <c r="E159" s="22"/>
    </row>
    <row r="160" spans="1:6" ht="15.75" customHeight="1" x14ac:dyDescent="0.25">
      <c r="A160" s="190" t="s">
        <v>84</v>
      </c>
      <c r="B160" s="198"/>
      <c r="C160" s="191"/>
      <c r="D160" s="10">
        <f>D159*12</f>
        <v>171138.88543278934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</mergeCells>
  <dataValidations disablePrompts="1"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124" zoomScaleNormal="100" workbookViewId="0">
      <selection activeCell="B163" sqref="B163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10" x14ac:dyDescent="0.25">
      <c r="A1" s="189" t="s">
        <v>0</v>
      </c>
      <c r="B1" s="189"/>
      <c r="C1" s="189"/>
      <c r="D1" s="189"/>
      <c r="E1" s="189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194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G4" s="88"/>
      <c r="H4" s="15"/>
    </row>
    <row r="5" spans="1:10" x14ac:dyDescent="0.25">
      <c r="A5" s="5" t="s">
        <v>4</v>
      </c>
      <c r="B5" s="126" t="s">
        <v>109</v>
      </c>
      <c r="C5" s="195"/>
      <c r="D5" s="196"/>
      <c r="H5" s="15"/>
    </row>
    <row r="6" spans="1:10" x14ac:dyDescent="0.25">
      <c r="A6" s="5" t="s">
        <v>6</v>
      </c>
      <c r="B6" s="126" t="s">
        <v>110</v>
      </c>
      <c r="C6" s="196"/>
      <c r="D6" s="196"/>
      <c r="H6" s="15"/>
    </row>
    <row r="7" spans="1:10" ht="25.5" x14ac:dyDescent="0.25">
      <c r="A7" s="5" t="s">
        <v>8</v>
      </c>
      <c r="B7" s="126" t="s">
        <v>111</v>
      </c>
      <c r="C7" s="196"/>
      <c r="D7" s="196"/>
      <c r="H7" s="15"/>
    </row>
    <row r="8" spans="1:10" x14ac:dyDescent="0.25">
      <c r="A8" s="5" t="s">
        <v>10</v>
      </c>
      <c r="B8" s="126" t="s">
        <v>112</v>
      </c>
      <c r="C8" s="196"/>
      <c r="D8" s="196"/>
      <c r="H8" s="15"/>
    </row>
    <row r="9" spans="1:10" x14ac:dyDescent="0.25">
      <c r="A9" s="197"/>
      <c r="B9" s="197"/>
      <c r="C9" s="197"/>
      <c r="D9" s="197"/>
      <c r="E9" s="131"/>
    </row>
    <row r="10" spans="1:10" x14ac:dyDescent="0.25">
      <c r="A10" s="189" t="s">
        <v>78</v>
      </c>
      <c r="B10" s="189"/>
      <c r="C10" s="189"/>
      <c r="D10" s="189"/>
      <c r="E10" s="189"/>
    </row>
    <row r="11" spans="1:10" ht="25.5" customHeight="1" x14ac:dyDescent="0.25">
      <c r="A11" s="203" t="s">
        <v>79</v>
      </c>
      <c r="B11" s="203"/>
      <c r="C11" s="87" t="s">
        <v>80</v>
      </c>
      <c r="D11" s="87" t="s">
        <v>81</v>
      </c>
      <c r="E11" s="87" t="s">
        <v>188</v>
      </c>
    </row>
    <row r="12" spans="1:10" ht="15.75" customHeight="1" x14ac:dyDescent="0.25">
      <c r="A12" s="204" t="s">
        <v>104</v>
      </c>
      <c r="B12" s="204"/>
      <c r="C12" s="201" t="s">
        <v>82</v>
      </c>
      <c r="D12" s="201"/>
      <c r="E12" s="206"/>
    </row>
    <row r="13" spans="1:10" x14ac:dyDescent="0.25">
      <c r="A13" s="205"/>
      <c r="B13" s="205"/>
      <c r="C13" s="202"/>
      <c r="D13" s="202"/>
      <c r="E13" s="207"/>
    </row>
    <row r="14" spans="1:10" x14ac:dyDescent="0.25">
      <c r="A14" s="4"/>
      <c r="B14" s="4"/>
      <c r="C14" s="4"/>
      <c r="D14" s="4"/>
      <c r="E14" s="4"/>
    </row>
    <row r="15" spans="1:10" x14ac:dyDescent="0.25">
      <c r="A15" s="130">
        <v>1</v>
      </c>
      <c r="B15" s="38" t="s">
        <v>113</v>
      </c>
      <c r="C15" s="193"/>
      <c r="D15" s="193"/>
      <c r="E15" s="193"/>
      <c r="F15" s="37"/>
    </row>
    <row r="16" spans="1:10" x14ac:dyDescent="0.25">
      <c r="A16" s="130">
        <v>2</v>
      </c>
      <c r="B16" s="38" t="s">
        <v>114</v>
      </c>
      <c r="C16" s="193"/>
      <c r="D16" s="193"/>
      <c r="E16" s="193"/>
      <c r="F16" s="37"/>
    </row>
    <row r="17" spans="1:6" x14ac:dyDescent="0.25">
      <c r="A17" s="130">
        <v>3</v>
      </c>
      <c r="B17" s="38" t="s">
        <v>115</v>
      </c>
      <c r="C17" s="194">
        <f>$D$25+$D$30</f>
        <v>1356.22</v>
      </c>
      <c r="D17" s="194"/>
      <c r="E17" s="194"/>
      <c r="F17" s="37"/>
    </row>
    <row r="18" spans="1:6" x14ac:dyDescent="0.25">
      <c r="A18" s="130">
        <v>4</v>
      </c>
      <c r="B18" s="38" t="s">
        <v>116</v>
      </c>
      <c r="C18" s="193" t="s">
        <v>213</v>
      </c>
      <c r="D18" s="193"/>
      <c r="E18" s="193"/>
      <c r="F18" s="37"/>
    </row>
    <row r="19" spans="1:6" x14ac:dyDescent="0.25">
      <c r="A19" s="130">
        <v>5</v>
      </c>
      <c r="B19" s="38" t="s">
        <v>117</v>
      </c>
      <c r="C19" s="192"/>
      <c r="D19" s="193"/>
      <c r="E19" s="193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2">
        <v>1</v>
      </c>
      <c r="B24" s="128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26" t="s">
        <v>5</v>
      </c>
      <c r="C25" s="13"/>
      <c r="D25" s="6">
        <f>'Servente de Limpeza - Banheiro'!D25</f>
        <v>1305.9100000000001</v>
      </c>
      <c r="E25" s="22" t="s">
        <v>140</v>
      </c>
    </row>
    <row r="26" spans="1:6" x14ac:dyDescent="0.25">
      <c r="A26" s="5" t="s">
        <v>6</v>
      </c>
      <c r="B26" s="126" t="s">
        <v>7</v>
      </c>
      <c r="C26" s="13">
        <v>0</v>
      </c>
      <c r="D26" s="6">
        <f>'Servente de Limpeza - Banheiro'!D26</f>
        <v>0</v>
      </c>
      <c r="E26" s="22" t="s">
        <v>140</v>
      </c>
    </row>
    <row r="27" spans="1:6" x14ac:dyDescent="0.25">
      <c r="A27" s="5" t="s">
        <v>8</v>
      </c>
      <c r="B27" s="126" t="s">
        <v>9</v>
      </c>
      <c r="C27" s="13">
        <v>0.4</v>
      </c>
      <c r="D27" s="6">
        <f>'Servente de Limpeza - Banheiro'!D27</f>
        <v>484.8</v>
      </c>
      <c r="E27" s="22" t="s">
        <v>217</v>
      </c>
    </row>
    <row r="28" spans="1:6" x14ac:dyDescent="0.25">
      <c r="A28" s="5" t="s">
        <v>10</v>
      </c>
      <c r="B28" s="126" t="s">
        <v>11</v>
      </c>
      <c r="C28" s="13"/>
      <c r="D28" s="6">
        <f>'Servente de Limpeza - Banheiro'!D28</f>
        <v>0</v>
      </c>
      <c r="E28" s="22" t="s">
        <v>140</v>
      </c>
    </row>
    <row r="29" spans="1:6" x14ac:dyDescent="0.25">
      <c r="A29" s="5" t="s">
        <v>12</v>
      </c>
      <c r="B29" s="126" t="s">
        <v>13</v>
      </c>
      <c r="C29" s="13"/>
      <c r="D29" s="6">
        <f>'Servente de Limpeza - Banheiro'!D29</f>
        <v>0</v>
      </c>
      <c r="E29" s="22" t="s">
        <v>140</v>
      </c>
    </row>
    <row r="30" spans="1:6" x14ac:dyDescent="0.25">
      <c r="A30" s="5" t="s">
        <v>14</v>
      </c>
      <c r="B30" s="126" t="s">
        <v>105</v>
      </c>
      <c r="C30" s="13"/>
      <c r="D30" s="6">
        <f>'Servente de Limpeza - Banheiro'!D30</f>
        <v>50.31</v>
      </c>
      <c r="E30" s="22" t="s">
        <v>140</v>
      </c>
    </row>
    <row r="31" spans="1:6" x14ac:dyDescent="0.25">
      <c r="A31" s="190" t="s">
        <v>15</v>
      </c>
      <c r="B31" s="191"/>
      <c r="C31" s="10"/>
      <c r="D31" s="10">
        <f>SUM(D25:D30)</f>
        <v>1841.02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190" t="s">
        <v>15</v>
      </c>
      <c r="B42" s="191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190" t="s">
        <v>34</v>
      </c>
      <c r="B56" s="191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2" t="s">
        <v>36</v>
      </c>
      <c r="B61" s="190" t="s">
        <v>37</v>
      </c>
      <c r="C61" s="191"/>
      <c r="D61" s="32" t="s">
        <v>3</v>
      </c>
      <c r="E61" s="32" t="s">
        <v>129</v>
      </c>
    </row>
    <row r="62" spans="1:5" ht="64.5" x14ac:dyDescent="0.25">
      <c r="A62" s="5" t="s">
        <v>4</v>
      </c>
      <c r="B62" s="199" t="s">
        <v>120</v>
      </c>
      <c r="C62" s="200"/>
      <c r="D62" s="6">
        <f>IF(VLOOKUP(B62,Beneficios!$A$1:$F$8,1,FALSE)='Servente de Limpeza - Diária'!B62,VLOOKUP(B62,Beneficios!$A$1:$F$8,6,FALSE))-$D$25*Beneficios!$E$2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199" t="s">
        <v>38</v>
      </c>
      <c r="C63" s="200">
        <f>22*16-(22*16)*20%</f>
        <v>281.60000000000002</v>
      </c>
      <c r="D63" s="6">
        <f>IF(VLOOKUP(B63,Beneficios!$A$1:$F$8,1,FALSE)='Servente de Limpeza - Diária'!B63,VLOOKUP(B63,Beneficios!$A$1:$F$8,6,FALSE))</f>
        <v>326.12800000000004</v>
      </c>
      <c r="E63" s="22" t="s">
        <v>218</v>
      </c>
    </row>
    <row r="64" spans="1:5" x14ac:dyDescent="0.25">
      <c r="A64" s="5" t="s">
        <v>8</v>
      </c>
      <c r="B64" s="199" t="s">
        <v>106</v>
      </c>
      <c r="C64" s="200">
        <f>120</f>
        <v>120</v>
      </c>
      <c r="D64" s="6">
        <f>IF(VLOOKUP(B64,Beneficios!$A$1:$F$8,1,FALSE)='Servente de Limpeza - Diária'!B64,VLOOKUP(B64,Beneficios!$A$1:$F$8,6,FALSE))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9" t="s">
        <v>214</v>
      </c>
      <c r="C65" s="200"/>
      <c r="D65" s="6">
        <v>49</v>
      </c>
      <c r="E65" s="22" t="s">
        <v>140</v>
      </c>
    </row>
    <row r="66" spans="1:5" x14ac:dyDescent="0.25">
      <c r="A66" s="5" t="s">
        <v>12</v>
      </c>
      <c r="B66" s="199"/>
      <c r="C66" s="200"/>
      <c r="D66" s="6"/>
      <c r="E66" s="22"/>
    </row>
    <row r="67" spans="1:5" x14ac:dyDescent="0.25">
      <c r="A67" s="5" t="s">
        <v>29</v>
      </c>
      <c r="B67" s="199"/>
      <c r="C67" s="200"/>
      <c r="D67" s="6"/>
      <c r="E67" s="22"/>
    </row>
    <row r="68" spans="1:5" x14ac:dyDescent="0.25">
      <c r="A68" s="5" t="s">
        <v>14</v>
      </c>
      <c r="B68" s="199"/>
      <c r="C68" s="200"/>
      <c r="D68" s="6"/>
      <c r="E68" s="22"/>
    </row>
    <row r="69" spans="1:5" x14ac:dyDescent="0.25">
      <c r="A69" s="190" t="s">
        <v>15</v>
      </c>
      <c r="B69" s="198"/>
      <c r="C69" s="191"/>
      <c r="D69" s="10">
        <f>SUM(D62:D68)</f>
        <v>640.77340000000004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2">
        <v>2</v>
      </c>
      <c r="B74" s="128" t="s">
        <v>40</v>
      </c>
      <c r="C74" s="129"/>
      <c r="D74" s="32" t="s">
        <v>3</v>
      </c>
      <c r="E74" s="32" t="s">
        <v>90</v>
      </c>
    </row>
    <row r="75" spans="1:5" x14ac:dyDescent="0.25">
      <c r="A75" s="5" t="s">
        <v>18</v>
      </c>
      <c r="B75" s="126" t="s">
        <v>19</v>
      </c>
      <c r="C75" s="127"/>
      <c r="D75" s="6">
        <f>D42</f>
        <v>357.97611111111109</v>
      </c>
      <c r="E75" s="22"/>
    </row>
    <row r="76" spans="1:5" x14ac:dyDescent="0.25">
      <c r="A76" s="5" t="s">
        <v>22</v>
      </c>
      <c r="B76" s="126" t="s">
        <v>23</v>
      </c>
      <c r="C76" s="127"/>
      <c r="D76" s="6">
        <f>D56</f>
        <v>875.20045222222234</v>
      </c>
      <c r="E76" s="22"/>
    </row>
    <row r="77" spans="1:5" x14ac:dyDescent="0.25">
      <c r="A77" s="5" t="s">
        <v>36</v>
      </c>
      <c r="B77" s="126" t="s">
        <v>37</v>
      </c>
      <c r="C77" s="127"/>
      <c r="D77" s="6">
        <f>D69</f>
        <v>640.77340000000004</v>
      </c>
      <c r="E77" s="22"/>
    </row>
    <row r="78" spans="1:5" x14ac:dyDescent="0.25">
      <c r="A78" s="190" t="s">
        <v>15</v>
      </c>
      <c r="B78" s="198"/>
      <c r="C78" s="191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190" t="s">
        <v>34</v>
      </c>
      <c r="B104" s="198"/>
      <c r="C104" s="191"/>
      <c r="D104" s="10">
        <f>SUM(D98:D103)</f>
        <v>30.359520675311778</v>
      </c>
      <c r="E104" s="22"/>
    </row>
    <row r="107" spans="1:5" x14ac:dyDescent="0.25">
      <c r="A107" s="208" t="s">
        <v>55</v>
      </c>
      <c r="B107" s="208"/>
      <c r="C107" s="208"/>
      <c r="D107" s="208"/>
      <c r="E107" s="208"/>
    </row>
    <row r="108" spans="1:5" x14ac:dyDescent="0.25">
      <c r="A108" s="2"/>
    </row>
    <row r="109" spans="1:5" x14ac:dyDescent="0.25">
      <c r="A109" s="32" t="s">
        <v>56</v>
      </c>
      <c r="B109" s="190" t="s">
        <v>57</v>
      </c>
      <c r="C109" s="191"/>
      <c r="D109" s="32" t="s">
        <v>3</v>
      </c>
      <c r="E109" s="32" t="s">
        <v>129</v>
      </c>
    </row>
    <row r="110" spans="1:5" x14ac:dyDescent="0.25">
      <c r="A110" s="5" t="s">
        <v>4</v>
      </c>
      <c r="B110" s="199" t="s">
        <v>58</v>
      </c>
      <c r="C110" s="200"/>
      <c r="D110" s="6"/>
      <c r="E110" s="22"/>
    </row>
    <row r="111" spans="1:5" x14ac:dyDescent="0.25">
      <c r="A111" s="190" t="s">
        <v>15</v>
      </c>
      <c r="B111" s="198"/>
      <c r="C111" s="191"/>
      <c r="D111" s="6">
        <f>D110</f>
        <v>0</v>
      </c>
      <c r="E111" s="22"/>
    </row>
    <row r="114" spans="1:5" x14ac:dyDescent="0.25">
      <c r="A114" s="189" t="s">
        <v>59</v>
      </c>
      <c r="B114" s="189"/>
      <c r="C114" s="189"/>
      <c r="D114" s="189"/>
      <c r="E114" s="189"/>
    </row>
    <row r="115" spans="1:5" x14ac:dyDescent="0.25">
      <c r="A115" s="2"/>
    </row>
    <row r="116" spans="1:5" x14ac:dyDescent="0.25">
      <c r="A116" s="32">
        <v>4</v>
      </c>
      <c r="B116" s="128" t="s">
        <v>60</v>
      </c>
      <c r="C116" s="129"/>
      <c r="D116" s="32" t="s">
        <v>3</v>
      </c>
      <c r="E116" s="32" t="s">
        <v>90</v>
      </c>
    </row>
    <row r="117" spans="1:5" x14ac:dyDescent="0.25">
      <c r="A117" s="5" t="s">
        <v>49</v>
      </c>
      <c r="B117" s="126" t="s">
        <v>50</v>
      </c>
      <c r="C117" s="127"/>
      <c r="D117" s="6">
        <f>D104</f>
        <v>30.359520675311778</v>
      </c>
      <c r="E117" s="22"/>
    </row>
    <row r="118" spans="1:5" x14ac:dyDescent="0.25">
      <c r="A118" s="5" t="s">
        <v>56</v>
      </c>
      <c r="B118" s="126" t="s">
        <v>57</v>
      </c>
      <c r="C118" s="127"/>
      <c r="D118" s="6">
        <f>D111</f>
        <v>0</v>
      </c>
      <c r="E118" s="22"/>
    </row>
    <row r="119" spans="1:5" x14ac:dyDescent="0.25">
      <c r="A119" s="190" t="s">
        <v>15</v>
      </c>
      <c r="B119" s="198"/>
      <c r="C119" s="191"/>
      <c r="D119" s="10">
        <f>SUM(D117:D118)</f>
        <v>30.359520675311778</v>
      </c>
      <c r="E119" s="22"/>
    </row>
    <row r="122" spans="1:5" x14ac:dyDescent="0.25">
      <c r="A122" s="189" t="s">
        <v>61</v>
      </c>
      <c r="B122" s="189"/>
      <c r="C122" s="189"/>
      <c r="D122" s="189"/>
      <c r="E122" s="189"/>
    </row>
    <row r="124" spans="1:5" x14ac:dyDescent="0.25">
      <c r="A124" s="32">
        <v>5</v>
      </c>
      <c r="B124" s="128" t="s">
        <v>62</v>
      </c>
      <c r="C124" s="129"/>
      <c r="D124" s="32" t="s">
        <v>3</v>
      </c>
      <c r="E124" s="32" t="s">
        <v>90</v>
      </c>
    </row>
    <row r="125" spans="1:5" x14ac:dyDescent="0.25">
      <c r="A125" s="5" t="s">
        <v>4</v>
      </c>
      <c r="B125" s="126" t="s">
        <v>63</v>
      </c>
      <c r="C125" s="127"/>
      <c r="D125" s="6">
        <f>SUMIFS(Uniformes!F:F,Uniformes!G:G,"Serviço de Limpeza")</f>
        <v>0</v>
      </c>
      <c r="E125" s="45" t="s">
        <v>189</v>
      </c>
    </row>
    <row r="126" spans="1:5" x14ac:dyDescent="0.25">
      <c r="A126" s="5" t="s">
        <v>6</v>
      </c>
      <c r="B126" s="126" t="s">
        <v>64</v>
      </c>
      <c r="C126" s="127"/>
      <c r="D126" s="6">
        <f>IFERROR(SUM(Materiais!H:H)/SUM(Resumo!$H$5:$H$10),0)</f>
        <v>1698.6203571428575</v>
      </c>
      <c r="E126" s="45" t="s">
        <v>189</v>
      </c>
    </row>
    <row r="127" spans="1:5" x14ac:dyDescent="0.25">
      <c r="A127" s="5" t="s">
        <v>8</v>
      </c>
      <c r="B127" s="126" t="s">
        <v>65</v>
      </c>
      <c r="C127" s="127"/>
      <c r="D127" s="6">
        <f>IFERROR(SUMIFS(Equipamentos!J:J,Equipamentos!K:K,"Todos")/SUM(Resumo!H5:H9),0)</f>
        <v>0</v>
      </c>
      <c r="E127" s="45" t="s">
        <v>193</v>
      </c>
    </row>
    <row r="128" spans="1:5" x14ac:dyDescent="0.25">
      <c r="A128" s="5" t="s">
        <v>10</v>
      </c>
      <c r="B128" s="126" t="s">
        <v>155</v>
      </c>
      <c r="C128" s="127"/>
      <c r="D128" s="6">
        <f>SUMIFS(EPIs!G:G,EPIs!H:H,"Serviço de Limpeza")</f>
        <v>0</v>
      </c>
      <c r="E128" s="22"/>
    </row>
    <row r="129" spans="1:5" x14ac:dyDescent="0.25">
      <c r="A129" s="5" t="s">
        <v>12</v>
      </c>
      <c r="B129" s="126" t="s">
        <v>363</v>
      </c>
      <c r="C129" s="127"/>
      <c r="D129" s="6">
        <f>SUMIFS(Utensílios!G:G,Utensílios!H:H,'Servente de Limpeza'!C18)/SUM(Resumo!H5:H7)</f>
        <v>90.879791666666677</v>
      </c>
      <c r="E129" s="66"/>
    </row>
    <row r="130" spans="1:5" x14ac:dyDescent="0.25">
      <c r="A130" s="190" t="s">
        <v>34</v>
      </c>
      <c r="B130" s="198"/>
      <c r="C130" s="191"/>
      <c r="D130" s="10">
        <f>SUM(D125:D129)</f>
        <v>1789.5001488095243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284.62305020248255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597.70840542521341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1092.6039947568772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126.51204149816472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582.72213053700114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Real",Informações!$B$5)))</f>
        <v>0.05</v>
      </c>
      <c r="D144" s="6">
        <f>(($D$31+$D$78+$D$90+$D$119+$D$130+$D$136+$D$137)/(1-$C$138))*C144</f>
        <v>383.36982272171127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1974.9354503845732</v>
      </c>
      <c r="E145" s="22"/>
    </row>
    <row r="148" spans="1:6" x14ac:dyDescent="0.25">
      <c r="A148" s="189" t="s">
        <v>73</v>
      </c>
      <c r="B148" s="189"/>
      <c r="C148" s="189"/>
      <c r="D148" s="189"/>
      <c r="E148" s="189"/>
    </row>
    <row r="150" spans="1:6" x14ac:dyDescent="0.25">
      <c r="A150" s="32"/>
      <c r="B150" s="128" t="s">
        <v>74</v>
      </c>
      <c r="C150" s="129"/>
      <c r="D150" s="32" t="s">
        <v>3</v>
      </c>
      <c r="E150" s="32" t="s">
        <v>90</v>
      </c>
    </row>
    <row r="151" spans="1:6" x14ac:dyDescent="0.25">
      <c r="A151" s="5" t="s">
        <v>4</v>
      </c>
      <c r="B151" s="126" t="s">
        <v>1</v>
      </c>
      <c r="C151" s="127"/>
      <c r="D151" s="6">
        <f>D31</f>
        <v>1841.02</v>
      </c>
      <c r="E151" s="22"/>
    </row>
    <row r="152" spans="1:6" x14ac:dyDescent="0.25">
      <c r="A152" s="5" t="s">
        <v>6</v>
      </c>
      <c r="B152" s="126" t="s">
        <v>16</v>
      </c>
      <c r="C152" s="127"/>
      <c r="D152" s="6">
        <f>D78</f>
        <v>1873.9499633333335</v>
      </c>
      <c r="E152" s="22"/>
    </row>
    <row r="153" spans="1:6" x14ac:dyDescent="0.25">
      <c r="A153" s="5" t="s">
        <v>8</v>
      </c>
      <c r="B153" s="126" t="s">
        <v>41</v>
      </c>
      <c r="C153" s="127"/>
      <c r="D153" s="6">
        <f>D90</f>
        <v>157.63137123148147</v>
      </c>
      <c r="E153" s="22"/>
    </row>
    <row r="154" spans="1:6" x14ac:dyDescent="0.25">
      <c r="A154" s="5" t="s">
        <v>10</v>
      </c>
      <c r="B154" s="126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126" t="s">
        <v>61</v>
      </c>
      <c r="C155" s="41"/>
      <c r="D155" s="6">
        <f>D130</f>
        <v>1789.5001488095243</v>
      </c>
      <c r="E155" s="22"/>
    </row>
    <row r="156" spans="1:6" ht="15.75" customHeight="1" x14ac:dyDescent="0.25">
      <c r="A156" s="190" t="s">
        <v>75</v>
      </c>
      <c r="B156" s="198"/>
      <c r="C156" s="191"/>
      <c r="D156" s="10">
        <f>SUM(D151:D155)</f>
        <v>5692.4610040496509</v>
      </c>
      <c r="E156" s="22"/>
    </row>
    <row r="157" spans="1:6" x14ac:dyDescent="0.25">
      <c r="A157" s="23" t="s">
        <v>29</v>
      </c>
      <c r="B157" s="126" t="s">
        <v>76</v>
      </c>
      <c r="C157" s="41"/>
      <c r="D157" s="6">
        <f>D145</f>
        <v>1974.9354503845732</v>
      </c>
      <c r="E157" s="22"/>
    </row>
    <row r="158" spans="1:6" ht="15.75" customHeight="1" x14ac:dyDescent="0.25">
      <c r="A158" s="190" t="s">
        <v>77</v>
      </c>
      <c r="B158" s="198"/>
      <c r="C158" s="191"/>
      <c r="D158" s="10">
        <f>D156+D157</f>
        <v>7667.3964544342243</v>
      </c>
      <c r="E158" s="22"/>
      <c r="F158" s="62"/>
    </row>
    <row r="159" spans="1:6" ht="15.75" customHeight="1" x14ac:dyDescent="0.25">
      <c r="A159" s="190" t="s">
        <v>274</v>
      </c>
      <c r="B159" s="198"/>
      <c r="C159" s="191"/>
      <c r="D159" s="10">
        <f>D158/22</f>
        <v>348.5180206561011</v>
      </c>
      <c r="E159" s="22" t="s">
        <v>275</v>
      </c>
    </row>
    <row r="160" spans="1:6" ht="15.75" customHeight="1" x14ac:dyDescent="0.25">
      <c r="A160" s="190" t="s">
        <v>84</v>
      </c>
      <c r="B160" s="198"/>
      <c r="C160" s="191"/>
      <c r="D160" s="10">
        <f>D159*12</f>
        <v>4182.2162478732134</v>
      </c>
      <c r="E160" s="22"/>
    </row>
  </sheetData>
  <mergeCells count="54"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zoomScaleNormal="100" workbookViewId="0">
      <selection activeCell="D159" sqref="D159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189" t="s">
        <v>0</v>
      </c>
      <c r="B1" s="189"/>
      <c r="C1" s="189"/>
      <c r="D1" s="189"/>
      <c r="E1" s="189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194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67" t="s">
        <v>109</v>
      </c>
      <c r="C5" s="195"/>
      <c r="D5" s="196"/>
      <c r="H5" s="15"/>
    </row>
    <row r="6" spans="1:10" x14ac:dyDescent="0.25">
      <c r="A6" s="5" t="s">
        <v>6</v>
      </c>
      <c r="B6" s="67" t="s">
        <v>110</v>
      </c>
      <c r="C6" s="196"/>
      <c r="D6" s="196"/>
      <c r="H6" s="15"/>
    </row>
    <row r="7" spans="1:10" ht="25.5" x14ac:dyDescent="0.25">
      <c r="A7" s="5" t="s">
        <v>8</v>
      </c>
      <c r="B7" s="67" t="s">
        <v>111</v>
      </c>
      <c r="C7" s="196"/>
      <c r="D7" s="196"/>
      <c r="H7" s="15"/>
    </row>
    <row r="8" spans="1:10" x14ac:dyDescent="0.25">
      <c r="A8" s="5" t="s">
        <v>10</v>
      </c>
      <c r="B8" s="67" t="s">
        <v>112</v>
      </c>
      <c r="C8" s="196"/>
      <c r="D8" s="196"/>
      <c r="H8" s="15"/>
    </row>
    <row r="9" spans="1:10" x14ac:dyDescent="0.25">
      <c r="A9" s="197"/>
      <c r="B9" s="197"/>
      <c r="C9" s="197"/>
      <c r="D9" s="197"/>
      <c r="E9" s="73"/>
    </row>
    <row r="10" spans="1:10" x14ac:dyDescent="0.25">
      <c r="A10" s="189" t="s">
        <v>78</v>
      </c>
      <c r="B10" s="189"/>
      <c r="C10" s="189"/>
      <c r="D10" s="189"/>
      <c r="E10" s="189"/>
    </row>
    <row r="11" spans="1:10" ht="25.5" customHeight="1" x14ac:dyDescent="0.25">
      <c r="A11" s="203" t="s">
        <v>79</v>
      </c>
      <c r="B11" s="203"/>
      <c r="C11" s="71" t="s">
        <v>80</v>
      </c>
      <c r="D11" s="87" t="s">
        <v>81</v>
      </c>
      <c r="E11" s="87" t="s">
        <v>188</v>
      </c>
    </row>
    <row r="12" spans="1:10" ht="15.75" customHeight="1" x14ac:dyDescent="0.25">
      <c r="A12" s="204" t="s">
        <v>104</v>
      </c>
      <c r="B12" s="204"/>
      <c r="C12" s="201" t="s">
        <v>82</v>
      </c>
      <c r="D12" s="201">
        <v>1</v>
      </c>
      <c r="E12" s="201">
        <v>1</v>
      </c>
    </row>
    <row r="13" spans="1:10" x14ac:dyDescent="0.25">
      <c r="A13" s="205"/>
      <c r="B13" s="205"/>
      <c r="C13" s="202"/>
      <c r="D13" s="202"/>
      <c r="E13" s="202"/>
    </row>
    <row r="14" spans="1:10" x14ac:dyDescent="0.25">
      <c r="A14" s="4"/>
      <c r="B14" s="4"/>
      <c r="C14" s="4"/>
      <c r="D14" s="4"/>
      <c r="E14" s="4"/>
    </row>
    <row r="15" spans="1:10" x14ac:dyDescent="0.25">
      <c r="A15" s="72">
        <v>1</v>
      </c>
      <c r="B15" s="38" t="s">
        <v>113</v>
      </c>
      <c r="C15" s="193" t="s">
        <v>104</v>
      </c>
      <c r="D15" s="193"/>
      <c r="E15" s="193"/>
      <c r="F15" s="37"/>
    </row>
    <row r="16" spans="1:10" x14ac:dyDescent="0.25">
      <c r="A16" s="72">
        <v>2</v>
      </c>
      <c r="B16" s="38" t="s">
        <v>114</v>
      </c>
      <c r="C16" s="193"/>
      <c r="D16" s="193"/>
      <c r="E16" s="193"/>
      <c r="F16" s="37"/>
    </row>
    <row r="17" spans="1:6" x14ac:dyDescent="0.25">
      <c r="A17" s="72">
        <v>3</v>
      </c>
      <c r="B17" s="38" t="s">
        <v>115</v>
      </c>
      <c r="C17" s="194">
        <f>$D$25+$D$29</f>
        <v>1356.22</v>
      </c>
      <c r="D17" s="194"/>
      <c r="E17" s="194"/>
      <c r="F17" s="37"/>
    </row>
    <row r="18" spans="1:6" x14ac:dyDescent="0.25">
      <c r="A18" s="72">
        <v>4</v>
      </c>
      <c r="B18" s="38" t="s">
        <v>116</v>
      </c>
      <c r="C18" s="193" t="s">
        <v>184</v>
      </c>
      <c r="D18" s="193"/>
      <c r="E18" s="193"/>
      <c r="F18" s="37"/>
    </row>
    <row r="19" spans="1:6" x14ac:dyDescent="0.25">
      <c r="A19" s="72">
        <v>5</v>
      </c>
      <c r="B19" s="38" t="s">
        <v>117</v>
      </c>
      <c r="C19" s="192"/>
      <c r="D19" s="193"/>
      <c r="E19" s="193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2">
        <v>1</v>
      </c>
      <c r="B24" s="69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67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67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67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67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86" t="s">
        <v>105</v>
      </c>
      <c r="C29" s="13"/>
      <c r="D29" s="6">
        <v>50.31</v>
      </c>
      <c r="E29" s="22" t="s">
        <v>140</v>
      </c>
    </row>
    <row r="30" spans="1:6" x14ac:dyDescent="0.25">
      <c r="A30" s="5" t="s">
        <v>14</v>
      </c>
      <c r="B30" s="67" t="s">
        <v>190</v>
      </c>
      <c r="C30" s="13"/>
      <c r="D30" s="6"/>
      <c r="E30" s="22" t="s">
        <v>140</v>
      </c>
    </row>
    <row r="31" spans="1:6" x14ac:dyDescent="0.25">
      <c r="A31" s="190" t="s">
        <v>15</v>
      </c>
      <c r="B31" s="191"/>
      <c r="C31" s="10"/>
      <c r="D31" s="10">
        <f>SUM(D25:D30)</f>
        <v>1356.22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66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190" t="s">
        <v>15</v>
      </c>
      <c r="B42" s="191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190" t="s">
        <v>34</v>
      </c>
      <c r="B56" s="191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2" t="s">
        <v>36</v>
      </c>
      <c r="B61" s="190" t="s">
        <v>37</v>
      </c>
      <c r="C61" s="191"/>
      <c r="D61" s="32" t="s">
        <v>3</v>
      </c>
      <c r="E61" s="32" t="s">
        <v>129</v>
      </c>
    </row>
    <row r="62" spans="1:5" ht="64.5" x14ac:dyDescent="0.25">
      <c r="A62" s="5" t="s">
        <v>4</v>
      </c>
      <c r="B62" s="199" t="s">
        <v>120</v>
      </c>
      <c r="C62" s="200"/>
      <c r="D62" s="6">
        <f>IF(VLOOKUP(B62,Beneficios!$A$1:$F$8,1,FALSE)=Líder!B62,VLOOKUP(B62,Beneficios!$A$1:$F$8,6,FALSE))-$D$25*Beneficios!$E$2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199" t="s">
        <v>38</v>
      </c>
      <c r="C63" s="200">
        <f>22*16-(22*16)*20%</f>
        <v>281.60000000000002</v>
      </c>
      <c r="D63" s="6">
        <f>IF(VLOOKUP(B63,Beneficios!$A$1:$F$8,1,FALSE)=Líder!B63,VLOOKUP(B63,Beneficios!$A$1:$F$8,6,FALSE))</f>
        <v>326.12800000000004</v>
      </c>
      <c r="E63" s="22" t="s">
        <v>218</v>
      </c>
    </row>
    <row r="64" spans="1:5" x14ac:dyDescent="0.25">
      <c r="A64" s="5" t="s">
        <v>8</v>
      </c>
      <c r="B64" s="199" t="s">
        <v>106</v>
      </c>
      <c r="C64" s="200">
        <f>120</f>
        <v>120</v>
      </c>
      <c r="D64" s="6">
        <f>IF(VLOOKUP(B64,Beneficios!$A$1:$F$8,1,FALSE)=Líder!B64,VLOOKUP(B64,Beneficios!$A$1:$F$8,6,FALSE))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9" t="s">
        <v>214</v>
      </c>
      <c r="C65" s="200"/>
      <c r="D65" s="6">
        <v>49</v>
      </c>
      <c r="E65" s="22" t="s">
        <v>140</v>
      </c>
    </row>
    <row r="66" spans="1:5" x14ac:dyDescent="0.25">
      <c r="A66" s="5" t="s">
        <v>12</v>
      </c>
      <c r="B66" s="199" t="s">
        <v>364</v>
      </c>
      <c r="C66" s="200"/>
      <c r="D66" s="6">
        <f>20%*($D$25+$D$29)</f>
        <v>271.24400000000003</v>
      </c>
      <c r="E66" s="22" t="s">
        <v>140</v>
      </c>
    </row>
    <row r="67" spans="1:5" x14ac:dyDescent="0.25">
      <c r="A67" s="5" t="s">
        <v>29</v>
      </c>
      <c r="B67" s="199" t="s">
        <v>190</v>
      </c>
      <c r="C67" s="200"/>
      <c r="D67" s="6"/>
      <c r="E67" s="22" t="s">
        <v>140</v>
      </c>
    </row>
    <row r="68" spans="1:5" x14ac:dyDescent="0.25">
      <c r="A68" s="5" t="s">
        <v>14</v>
      </c>
      <c r="B68" s="199" t="s">
        <v>190</v>
      </c>
      <c r="C68" s="200"/>
      <c r="D68" s="6"/>
      <c r="E68" s="22" t="s">
        <v>140</v>
      </c>
    </row>
    <row r="69" spans="1:5" x14ac:dyDescent="0.25">
      <c r="A69" s="190" t="s">
        <v>15</v>
      </c>
      <c r="B69" s="198"/>
      <c r="C69" s="191"/>
      <c r="D69" s="10">
        <f>SUM(D62:D68)</f>
        <v>912.01740000000007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2">
        <v>2</v>
      </c>
      <c r="B74" s="69" t="s">
        <v>40</v>
      </c>
      <c r="C74" s="70"/>
      <c r="D74" s="32" t="s">
        <v>3</v>
      </c>
      <c r="E74" s="32" t="s">
        <v>90</v>
      </c>
    </row>
    <row r="75" spans="1:5" x14ac:dyDescent="0.25">
      <c r="A75" s="5" t="s">
        <v>18</v>
      </c>
      <c r="B75" s="67" t="s">
        <v>19</v>
      </c>
      <c r="C75" s="68"/>
      <c r="D75" s="6">
        <f>D42</f>
        <v>263.70944444444444</v>
      </c>
      <c r="E75" s="22"/>
    </row>
    <row r="76" spans="1:5" x14ac:dyDescent="0.25">
      <c r="A76" s="5" t="s">
        <v>22</v>
      </c>
      <c r="B76" s="67" t="s">
        <v>23</v>
      </c>
      <c r="C76" s="68"/>
      <c r="D76" s="6">
        <f>D56</f>
        <v>644.73191888888891</v>
      </c>
      <c r="E76" s="22"/>
    </row>
    <row r="77" spans="1:5" x14ac:dyDescent="0.25">
      <c r="A77" s="5" t="s">
        <v>36</v>
      </c>
      <c r="B77" s="67" t="s">
        <v>37</v>
      </c>
      <c r="C77" s="68"/>
      <c r="D77" s="6">
        <f>D69</f>
        <v>912.01740000000007</v>
      </c>
      <c r="E77" s="22"/>
    </row>
    <row r="78" spans="1:5" x14ac:dyDescent="0.25">
      <c r="A78" s="190" t="s">
        <v>15</v>
      </c>
      <c r="B78" s="198"/>
      <c r="C78" s="191"/>
      <c r="D78" s="10">
        <f>SUM(D75:D77)</f>
        <v>1820.4587633333335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13.671525596593908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0.64758413878293197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1.1502317098325625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3.0213685579056477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7.323424338932691</v>
      </c>
      <c r="E103" s="45"/>
    </row>
    <row r="104" spans="1:5" x14ac:dyDescent="0.25">
      <c r="A104" s="190" t="s">
        <v>34</v>
      </c>
      <c r="B104" s="198"/>
      <c r="C104" s="191"/>
      <c r="D104" s="10">
        <f>SUM(D98:D103)</f>
        <v>25.814134342047737</v>
      </c>
      <c r="E104" s="22"/>
    </row>
    <row r="107" spans="1:5" x14ac:dyDescent="0.25">
      <c r="A107" s="208" t="s">
        <v>55</v>
      </c>
      <c r="B107" s="208"/>
      <c r="C107" s="208"/>
      <c r="D107" s="208"/>
      <c r="E107" s="208"/>
    </row>
    <row r="108" spans="1:5" x14ac:dyDescent="0.25">
      <c r="A108" s="2"/>
    </row>
    <row r="109" spans="1:5" x14ac:dyDescent="0.25">
      <c r="A109" s="32" t="s">
        <v>56</v>
      </c>
      <c r="B109" s="190" t="s">
        <v>57</v>
      </c>
      <c r="C109" s="191"/>
      <c r="D109" s="32" t="s">
        <v>3</v>
      </c>
      <c r="E109" s="32" t="s">
        <v>129</v>
      </c>
    </row>
    <row r="110" spans="1:5" x14ac:dyDescent="0.25">
      <c r="A110" s="5" t="s">
        <v>4</v>
      </c>
      <c r="B110" s="199" t="s">
        <v>58</v>
      </c>
      <c r="C110" s="200"/>
      <c r="D110" s="6"/>
      <c r="E110" s="22"/>
    </row>
    <row r="111" spans="1:5" x14ac:dyDescent="0.25">
      <c r="A111" s="190" t="s">
        <v>15</v>
      </c>
      <c r="B111" s="198"/>
      <c r="C111" s="191"/>
      <c r="D111" s="6">
        <f>D110</f>
        <v>0</v>
      </c>
      <c r="E111" s="22"/>
    </row>
    <row r="114" spans="1:5" x14ac:dyDescent="0.25">
      <c r="A114" s="189" t="s">
        <v>59</v>
      </c>
      <c r="B114" s="189"/>
      <c r="C114" s="189"/>
      <c r="D114" s="189"/>
      <c r="E114" s="189"/>
    </row>
    <row r="115" spans="1:5" x14ac:dyDescent="0.25">
      <c r="A115" s="2"/>
    </row>
    <row r="116" spans="1:5" x14ac:dyDescent="0.25">
      <c r="A116" s="32">
        <v>4</v>
      </c>
      <c r="B116" s="69" t="s">
        <v>60</v>
      </c>
      <c r="C116" s="70"/>
      <c r="D116" s="32" t="s">
        <v>3</v>
      </c>
      <c r="E116" s="32" t="s">
        <v>90</v>
      </c>
    </row>
    <row r="117" spans="1:5" x14ac:dyDescent="0.25">
      <c r="A117" s="5" t="s">
        <v>49</v>
      </c>
      <c r="B117" s="67" t="s">
        <v>50</v>
      </c>
      <c r="C117" s="68"/>
      <c r="D117" s="6">
        <f>D104</f>
        <v>25.814134342047737</v>
      </c>
      <c r="E117" s="22"/>
    </row>
    <row r="118" spans="1:5" x14ac:dyDescent="0.25">
      <c r="A118" s="5" t="s">
        <v>56</v>
      </c>
      <c r="B118" s="67" t="s">
        <v>57</v>
      </c>
      <c r="C118" s="68"/>
      <c r="D118" s="6">
        <f>D111</f>
        <v>0</v>
      </c>
      <c r="E118" s="22"/>
    </row>
    <row r="119" spans="1:5" x14ac:dyDescent="0.25">
      <c r="A119" s="190" t="s">
        <v>15</v>
      </c>
      <c r="B119" s="198"/>
      <c r="C119" s="191"/>
      <c r="D119" s="10">
        <f>SUM(D117:D118)</f>
        <v>25.814134342047737</v>
      </c>
      <c r="E119" s="22"/>
    </row>
    <row r="122" spans="1:5" x14ac:dyDescent="0.25">
      <c r="A122" s="189" t="s">
        <v>61</v>
      </c>
      <c r="B122" s="189"/>
      <c r="C122" s="189"/>
      <c r="D122" s="189"/>
      <c r="E122" s="189"/>
    </row>
    <row r="124" spans="1:5" x14ac:dyDescent="0.25">
      <c r="A124" s="32">
        <v>5</v>
      </c>
      <c r="B124" s="69" t="s">
        <v>62</v>
      </c>
      <c r="C124" s="70"/>
      <c r="D124" s="32" t="s">
        <v>3</v>
      </c>
      <c r="E124" s="32" t="s">
        <v>90</v>
      </c>
    </row>
    <row r="125" spans="1:5" x14ac:dyDescent="0.25">
      <c r="A125" s="5" t="s">
        <v>4</v>
      </c>
      <c r="B125" s="67" t="s">
        <v>63</v>
      </c>
      <c r="C125" s="68"/>
      <c r="D125" s="6">
        <f>SUMIFS(Uniformes!G:G,Uniformes!H:H,Líder!$C$18)</f>
        <v>30.258333333333333</v>
      </c>
      <c r="E125" s="45" t="s">
        <v>189</v>
      </c>
    </row>
    <row r="126" spans="1:5" x14ac:dyDescent="0.25">
      <c r="A126" s="5" t="s">
        <v>6</v>
      </c>
      <c r="B126" s="67" t="s">
        <v>64</v>
      </c>
      <c r="C126" s="68"/>
      <c r="D126" s="6">
        <f>SUMIFS(Materiais!H:H,Materiais!I:I,Líder!C18)</f>
        <v>0</v>
      </c>
      <c r="E126" s="45" t="s">
        <v>189</v>
      </c>
    </row>
    <row r="127" spans="1:5" x14ac:dyDescent="0.25">
      <c r="A127" s="5" t="s">
        <v>8</v>
      </c>
      <c r="B127" s="67" t="s">
        <v>65</v>
      </c>
      <c r="C127" s="68"/>
      <c r="D127" s="6">
        <f>IFERROR(SUMIFS(Equipamentos!J:J,Equipamentos!K:K,Líder!$C$18)/SUM(Resumo!H5:H9),0)</f>
        <v>0</v>
      </c>
      <c r="E127" s="45" t="s">
        <v>193</v>
      </c>
    </row>
    <row r="128" spans="1:5" x14ac:dyDescent="0.25">
      <c r="A128" s="5" t="s">
        <v>10</v>
      </c>
      <c r="B128" s="67" t="s">
        <v>155</v>
      </c>
      <c r="C128" s="68"/>
      <c r="D128" s="6">
        <f>SUMIFS(EPIs!G:G,EPIs!H:H,Líder!$C$18)</f>
        <v>0</v>
      </c>
      <c r="E128" s="22"/>
    </row>
    <row r="129" spans="1:5" x14ac:dyDescent="0.25">
      <c r="A129" s="5" t="s">
        <v>10</v>
      </c>
      <c r="B129" s="67"/>
      <c r="C129" s="68"/>
      <c r="D129" s="6"/>
      <c r="E129" s="66"/>
    </row>
    <row r="130" spans="1:5" x14ac:dyDescent="0.25">
      <c r="A130" s="190" t="s">
        <v>34</v>
      </c>
      <c r="B130" s="198"/>
      <c r="C130" s="191"/>
      <c r="D130" s="10">
        <f>SUM(D125:D129)</f>
        <v>30.258333333333333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167.44365866756536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351.6316832018872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642.77861623202125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74.426997668970884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342.81526199041133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Real",Informações!$B$5)))</f>
        <v>0.05</v>
      </c>
      <c r="D144" s="6">
        <f>(($D$31+$D$78+$D$90+$D$119+$D$130+$D$136+$D$137)/(1-$C$138))*C144</f>
        <v>225.53635657263905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1161.8539581014738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2"/>
      <c r="B150" s="69" t="s">
        <v>74</v>
      </c>
      <c r="C150" s="70"/>
      <c r="D150" s="32" t="s">
        <v>3</v>
      </c>
      <c r="E150" s="32" t="s">
        <v>90</v>
      </c>
    </row>
    <row r="151" spans="1:5" x14ac:dyDescent="0.25">
      <c r="A151" s="5" t="s">
        <v>4</v>
      </c>
      <c r="B151" s="67" t="s">
        <v>1</v>
      </c>
      <c r="C151" s="68"/>
      <c r="D151" s="6">
        <f>D31</f>
        <v>1356.22</v>
      </c>
      <c r="E151" s="22"/>
    </row>
    <row r="152" spans="1:5" x14ac:dyDescent="0.25">
      <c r="A152" s="5" t="s">
        <v>6</v>
      </c>
      <c r="B152" s="67" t="s">
        <v>16</v>
      </c>
      <c r="C152" s="68"/>
      <c r="D152" s="6">
        <f>D78</f>
        <v>1820.4587633333335</v>
      </c>
      <c r="E152" s="22"/>
    </row>
    <row r="153" spans="1:5" x14ac:dyDescent="0.25">
      <c r="A153" s="5" t="s">
        <v>8</v>
      </c>
      <c r="B153" s="67" t="s">
        <v>41</v>
      </c>
      <c r="C153" s="68"/>
      <c r="D153" s="6">
        <f>D90</f>
        <v>116.12194234259259</v>
      </c>
      <c r="E153" s="22"/>
    </row>
    <row r="154" spans="1:5" x14ac:dyDescent="0.25">
      <c r="A154" s="5" t="s">
        <v>10</v>
      </c>
      <c r="B154" s="67" t="s">
        <v>47</v>
      </c>
      <c r="C154" s="41"/>
      <c r="D154" s="6">
        <f>D119</f>
        <v>25.814134342047737</v>
      </c>
      <c r="E154" s="22"/>
    </row>
    <row r="155" spans="1:5" x14ac:dyDescent="0.25">
      <c r="A155" s="5" t="s">
        <v>12</v>
      </c>
      <c r="B155" s="67" t="s">
        <v>61</v>
      </c>
      <c r="C155" s="41"/>
      <c r="D155" s="6">
        <f>D130</f>
        <v>30.258333333333333</v>
      </c>
      <c r="E155" s="22"/>
    </row>
    <row r="156" spans="1:5" ht="15.75" customHeight="1" x14ac:dyDescent="0.25">
      <c r="A156" s="190" t="s">
        <v>75</v>
      </c>
      <c r="B156" s="198"/>
      <c r="C156" s="191"/>
      <c r="D156" s="10">
        <f>SUM(D151:D155)</f>
        <v>3348.8731733513068</v>
      </c>
      <c r="E156" s="22"/>
    </row>
    <row r="157" spans="1:5" x14ac:dyDescent="0.25">
      <c r="A157" s="23" t="s">
        <v>29</v>
      </c>
      <c r="B157" s="67" t="s">
        <v>76</v>
      </c>
      <c r="C157" s="41"/>
      <c r="D157" s="6">
        <f>D145</f>
        <v>1161.8539581014738</v>
      </c>
      <c r="E157" s="22"/>
    </row>
    <row r="158" spans="1:5" ht="15.75" customHeight="1" x14ac:dyDescent="0.25">
      <c r="A158" s="190" t="s">
        <v>77</v>
      </c>
      <c r="B158" s="198"/>
      <c r="C158" s="191"/>
      <c r="D158" s="10">
        <f>D156+D157</f>
        <v>4510.7271314527807</v>
      </c>
      <c r="E158" s="22"/>
    </row>
    <row r="159" spans="1:5" ht="15.75" customHeight="1" x14ac:dyDescent="0.25">
      <c r="A159" s="190" t="s">
        <v>83</v>
      </c>
      <c r="B159" s="198"/>
      <c r="C159" s="191"/>
      <c r="D159" s="10">
        <f>D158*$E$12*$D$12</f>
        <v>4510.7271314527807</v>
      </c>
      <c r="E159" s="22"/>
    </row>
    <row r="160" spans="1:5" ht="15.75" customHeight="1" x14ac:dyDescent="0.25">
      <c r="A160" s="190" t="s">
        <v>84</v>
      </c>
      <c r="B160" s="198"/>
      <c r="C160" s="191"/>
      <c r="D160" s="10">
        <f>D159*12</f>
        <v>54128.725577433368</v>
      </c>
      <c r="E160" s="22"/>
    </row>
  </sheetData>
  <mergeCells count="54">
    <mergeCell ref="E12:E13"/>
    <mergeCell ref="B66:C66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7:C67"/>
    <mergeCell ref="A93:E93"/>
    <mergeCell ref="A95:E95"/>
    <mergeCell ref="A104:C104"/>
    <mergeCell ref="A107:E107"/>
    <mergeCell ref="B65:C65"/>
    <mergeCell ref="B68:C68"/>
    <mergeCell ref="A69:C69"/>
    <mergeCell ref="A72:E72"/>
    <mergeCell ref="A78:C78"/>
    <mergeCell ref="A81:E81"/>
    <mergeCell ref="B63:C63"/>
    <mergeCell ref="A31:B31"/>
    <mergeCell ref="A34:E34"/>
    <mergeCell ref="A36:E36"/>
    <mergeCell ref="A42:B42"/>
    <mergeCell ref="A45:E45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A56:B56"/>
    <mergeCell ref="A59:E59"/>
    <mergeCell ref="B61:C61"/>
    <mergeCell ref="B62:C62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verticalDpi="300" r:id="rId1"/>
  <rowBreaks count="5" manualBreakCount="5">
    <brk id="33" max="6" man="1"/>
    <brk id="58" max="6" man="1"/>
    <brk id="85" max="6" man="1"/>
    <brk id="112" max="6" man="1"/>
    <brk id="147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topLeftCell="A143" zoomScaleNormal="100" workbookViewId="0">
      <selection activeCell="D66" sqref="D6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58" t="s">
        <v>109</v>
      </c>
      <c r="C5" s="195"/>
      <c r="D5" s="196"/>
      <c r="H5" s="15"/>
    </row>
    <row r="6" spans="1:9" x14ac:dyDescent="0.25">
      <c r="A6" s="5" t="s">
        <v>6</v>
      </c>
      <c r="B6" s="58" t="s">
        <v>110</v>
      </c>
      <c r="C6" s="196"/>
      <c r="D6" s="196"/>
      <c r="H6" s="15"/>
    </row>
    <row r="7" spans="1:9" ht="25.5" x14ac:dyDescent="0.25">
      <c r="A7" s="5" t="s">
        <v>8</v>
      </c>
      <c r="B7" s="58" t="s">
        <v>111</v>
      </c>
      <c r="C7" s="196"/>
      <c r="D7" s="196"/>
      <c r="H7" s="15"/>
    </row>
    <row r="8" spans="1:9" x14ac:dyDescent="0.25">
      <c r="A8" s="5" t="s">
        <v>10</v>
      </c>
      <c r="B8" s="58" t="s">
        <v>112</v>
      </c>
      <c r="C8" s="196"/>
      <c r="D8" s="196"/>
      <c r="H8" s="15"/>
    </row>
    <row r="9" spans="1:9" x14ac:dyDescent="0.25">
      <c r="A9" s="197"/>
      <c r="B9" s="197"/>
      <c r="C9" s="197"/>
      <c r="D9" s="197"/>
      <c r="E9" s="60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203" t="s">
        <v>79</v>
      </c>
      <c r="B11" s="203"/>
      <c r="C11" s="33" t="s">
        <v>80</v>
      </c>
      <c r="D11" s="87" t="s">
        <v>81</v>
      </c>
      <c r="E11" s="87" t="s">
        <v>188</v>
      </c>
    </row>
    <row r="12" spans="1:9" ht="15.75" customHeight="1" x14ac:dyDescent="0.25">
      <c r="A12" s="204" t="s">
        <v>104</v>
      </c>
      <c r="B12" s="204"/>
      <c r="C12" s="201" t="s">
        <v>82</v>
      </c>
      <c r="D12" s="201">
        <v>2</v>
      </c>
      <c r="E12" s="201">
        <v>1</v>
      </c>
    </row>
    <row r="13" spans="1:9" x14ac:dyDescent="0.25">
      <c r="A13" s="205"/>
      <c r="B13" s="205"/>
      <c r="C13" s="202"/>
      <c r="D13" s="202"/>
      <c r="E13" s="202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193" t="s">
        <v>104</v>
      </c>
      <c r="D15" s="193"/>
      <c r="E15" s="193"/>
      <c r="F15" s="37"/>
    </row>
    <row r="16" spans="1:9" x14ac:dyDescent="0.25">
      <c r="A16" s="39">
        <v>2</v>
      </c>
      <c r="B16" s="38" t="s">
        <v>114</v>
      </c>
      <c r="C16" s="193"/>
      <c r="D16" s="193"/>
      <c r="E16" s="193"/>
      <c r="F16" s="37"/>
    </row>
    <row r="17" spans="1:6" x14ac:dyDescent="0.25">
      <c r="A17" s="39">
        <v>3</v>
      </c>
      <c r="B17" s="38" t="s">
        <v>115</v>
      </c>
      <c r="C17" s="209">
        <f>$D$25+$D$30</f>
        <v>1412.2800000000002</v>
      </c>
      <c r="D17" s="209"/>
      <c r="E17" s="209"/>
      <c r="F17" s="37"/>
    </row>
    <row r="18" spans="1:6" x14ac:dyDescent="0.25">
      <c r="A18" s="39">
        <v>4</v>
      </c>
      <c r="B18" s="38" t="s">
        <v>116</v>
      </c>
      <c r="C18" s="193" t="s">
        <v>157</v>
      </c>
      <c r="D18" s="193"/>
      <c r="E18" s="193"/>
      <c r="F18" s="37"/>
    </row>
    <row r="19" spans="1:6" x14ac:dyDescent="0.25">
      <c r="A19" s="39">
        <v>5</v>
      </c>
      <c r="B19" s="38" t="s">
        <v>117</v>
      </c>
      <c r="C19" s="193"/>
      <c r="D19" s="193"/>
      <c r="E19" s="193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190" t="s">
        <v>15</v>
      </c>
      <c r="B31" s="191"/>
      <c r="C31" s="10"/>
      <c r="D31" s="10">
        <f>SUM(D25:D30)</f>
        <v>1412.2800000000002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117.69000000000001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117.69000000000001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39.230000000000004</v>
      </c>
      <c r="E41" s="22" t="s">
        <v>143</v>
      </c>
    </row>
    <row r="42" spans="1:5" x14ac:dyDescent="0.25">
      <c r="A42" s="190" t="s">
        <v>15</v>
      </c>
      <c r="B42" s="191"/>
      <c r="C42" s="10"/>
      <c r="D42" s="10">
        <f>SUM(D39:D41)</f>
        <v>274.61</v>
      </c>
      <c r="E42" s="22"/>
    </row>
    <row r="43" spans="1:5" x14ac:dyDescent="0.25">
      <c r="D43" s="62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337.3780000000001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42.172250000000012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101.21340000000002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25.303350000000005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16.868900000000004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10.121340000000002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3.3737800000000009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134.95120000000003</v>
      </c>
      <c r="E55" s="7" t="s">
        <v>149</v>
      </c>
    </row>
    <row r="56" spans="1:5" x14ac:dyDescent="0.25">
      <c r="A56" s="190" t="s">
        <v>34</v>
      </c>
      <c r="B56" s="191"/>
      <c r="C56" s="43">
        <f>SUM(C48:C55)</f>
        <v>0.39800000000000008</v>
      </c>
      <c r="D56" s="10">
        <f>SUM(D48:D55)</f>
        <v>671.38222000000019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2" t="s">
        <v>36</v>
      </c>
      <c r="B61" s="190" t="s">
        <v>37</v>
      </c>
      <c r="C61" s="191"/>
      <c r="D61" s="32" t="s">
        <v>3</v>
      </c>
      <c r="E61" s="32" t="s">
        <v>129</v>
      </c>
    </row>
    <row r="62" spans="1:5" ht="64.5" x14ac:dyDescent="0.25">
      <c r="A62" s="5" t="s">
        <v>4</v>
      </c>
      <c r="B62" s="199" t="s">
        <v>120</v>
      </c>
      <c r="C62" s="200"/>
      <c r="D62" s="6">
        <f>IF(VLOOKUP(B62,Beneficios!$A$1:$F$8,1,FALSE)=Copeira!B62,VLOOKUP(B62,Beneficios!$A$1:$F$8,6,FALSE))-$D$25*Beneficios!$E$2</f>
        <v>131.62099999999998</v>
      </c>
      <c r="E62" s="45" t="s">
        <v>139</v>
      </c>
    </row>
    <row r="63" spans="1:5" x14ac:dyDescent="0.25">
      <c r="A63" s="5" t="s">
        <v>6</v>
      </c>
      <c r="B63" s="199" t="s">
        <v>38</v>
      </c>
      <c r="C63" s="200">
        <f>22*16-(22*16)*20%</f>
        <v>281.60000000000002</v>
      </c>
      <c r="D63" s="6">
        <f>IF(VLOOKUP(B63,Beneficios!$A$1:$F$8,1,FALSE)=Copeira!B63,VLOOKUP(B63,Beneficios!$A$1:$F$8,6,FALSE))</f>
        <v>326.12800000000004</v>
      </c>
      <c r="E63" s="22" t="s">
        <v>218</v>
      </c>
    </row>
    <row r="64" spans="1:5" x14ac:dyDescent="0.25">
      <c r="A64" s="5" t="s">
        <v>8</v>
      </c>
      <c r="B64" s="199" t="s">
        <v>106</v>
      </c>
      <c r="C64" s="200">
        <f>120</f>
        <v>120</v>
      </c>
      <c r="D64" s="6">
        <f>IF(VLOOKUP(B64,Beneficios!$A$1:$F$8,1,FALSE)=Copeira!B64,VLOOKUP(B64,Beneficios!$A$1:$F$8,6,FALSE))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9" t="s">
        <v>215</v>
      </c>
      <c r="C65" s="200"/>
      <c r="D65" s="6">
        <f>30%*Informações!$B$3</f>
        <v>363.59999999999997</v>
      </c>
      <c r="E65" s="22" t="s">
        <v>216</v>
      </c>
    </row>
    <row r="66" spans="1:5" x14ac:dyDescent="0.25">
      <c r="A66" s="5" t="s">
        <v>12</v>
      </c>
      <c r="B66" s="199" t="s">
        <v>214</v>
      </c>
      <c r="C66" s="200"/>
      <c r="D66" s="6">
        <v>49</v>
      </c>
      <c r="E66" s="22" t="s">
        <v>140</v>
      </c>
    </row>
    <row r="67" spans="1:5" x14ac:dyDescent="0.25">
      <c r="A67" s="5" t="s">
        <v>29</v>
      </c>
      <c r="B67" s="199" t="s">
        <v>190</v>
      </c>
      <c r="C67" s="200"/>
      <c r="D67" s="6"/>
      <c r="E67" s="22" t="s">
        <v>140</v>
      </c>
    </row>
    <row r="68" spans="1:5" x14ac:dyDescent="0.25">
      <c r="A68" s="5" t="s">
        <v>14</v>
      </c>
      <c r="B68" s="199" t="s">
        <v>190</v>
      </c>
      <c r="C68" s="200"/>
      <c r="D68" s="6"/>
      <c r="E68" s="22" t="s">
        <v>140</v>
      </c>
    </row>
    <row r="69" spans="1:5" x14ac:dyDescent="0.25">
      <c r="A69" s="190" t="s">
        <v>15</v>
      </c>
      <c r="B69" s="198"/>
      <c r="C69" s="191"/>
      <c r="D69" s="10">
        <f>SUM(D62:D68)</f>
        <v>1001.1489999999999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2">
        <v>2</v>
      </c>
      <c r="B74" s="56" t="s">
        <v>40</v>
      </c>
      <c r="C74" s="57"/>
      <c r="D74" s="32" t="s">
        <v>3</v>
      </c>
      <c r="E74" s="32" t="s">
        <v>90</v>
      </c>
    </row>
    <row r="75" spans="1:5" x14ac:dyDescent="0.25">
      <c r="A75" s="5" t="s">
        <v>18</v>
      </c>
      <c r="B75" s="58" t="s">
        <v>19</v>
      </c>
      <c r="C75" s="59"/>
      <c r="D75" s="6">
        <f>D42</f>
        <v>274.61</v>
      </c>
      <c r="E75" s="22"/>
    </row>
    <row r="76" spans="1:5" x14ac:dyDescent="0.25">
      <c r="A76" s="5" t="s">
        <v>22</v>
      </c>
      <c r="B76" s="58" t="s">
        <v>23</v>
      </c>
      <c r="C76" s="59"/>
      <c r="D76" s="6">
        <f>D56</f>
        <v>671.38222000000019</v>
      </c>
      <c r="E76" s="22"/>
    </row>
    <row r="77" spans="1:5" x14ac:dyDescent="0.25">
      <c r="A77" s="5" t="s">
        <v>36</v>
      </c>
      <c r="B77" s="58" t="s">
        <v>37</v>
      </c>
      <c r="C77" s="59"/>
      <c r="D77" s="6">
        <f>D69</f>
        <v>1001.1489999999999</v>
      </c>
      <c r="E77" s="22"/>
    </row>
    <row r="78" spans="1:5" x14ac:dyDescent="0.25">
      <c r="A78" s="190" t="s">
        <v>15</v>
      </c>
      <c r="B78" s="198"/>
      <c r="C78" s="191"/>
      <c r="D78" s="10">
        <f>SUM(D75:D77)</f>
        <v>1947.14122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7.0287083333333342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0.56229666666666678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67.475600000000014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32.800638888888898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13.054654277777784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120.92189816666669</v>
      </c>
      <c r="E90" s="45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 t="shared" ref="D98:D103" si="2"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si="2"/>
        <v>14.450191274232546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0.68446747990611101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1.2157434881231552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3.1934514742499518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7.7405320812413496</v>
      </c>
      <c r="E103" s="45"/>
    </row>
    <row r="104" spans="1:5" x14ac:dyDescent="0.25">
      <c r="A104" s="190" t="s">
        <v>34</v>
      </c>
      <c r="B104" s="198"/>
      <c r="C104" s="191"/>
      <c r="D104" s="10">
        <f>SUM(D98:D103)</f>
        <v>27.28438579775311</v>
      </c>
      <c r="E104" s="22"/>
    </row>
    <row r="107" spans="1:5" x14ac:dyDescent="0.25">
      <c r="A107" s="189" t="s">
        <v>55</v>
      </c>
      <c r="B107" s="189"/>
      <c r="C107" s="189"/>
      <c r="D107" s="189"/>
      <c r="E107" s="189"/>
    </row>
    <row r="108" spans="1:5" x14ac:dyDescent="0.25">
      <c r="A108" s="2"/>
    </row>
    <row r="109" spans="1:5" x14ac:dyDescent="0.25">
      <c r="A109" s="32" t="s">
        <v>56</v>
      </c>
      <c r="B109" s="190" t="s">
        <v>57</v>
      </c>
      <c r="C109" s="191"/>
      <c r="D109" s="32" t="s">
        <v>3</v>
      </c>
      <c r="E109" s="32" t="s">
        <v>129</v>
      </c>
    </row>
    <row r="110" spans="1:5" x14ac:dyDescent="0.25">
      <c r="A110" s="5" t="s">
        <v>4</v>
      </c>
      <c r="B110" s="199" t="s">
        <v>58</v>
      </c>
      <c r="C110" s="200"/>
      <c r="D110" s="6"/>
      <c r="E110" s="22"/>
    </row>
    <row r="111" spans="1:5" x14ac:dyDescent="0.25">
      <c r="A111" s="190" t="s">
        <v>15</v>
      </c>
      <c r="B111" s="198"/>
      <c r="C111" s="191"/>
      <c r="D111" s="6">
        <f>D110</f>
        <v>0</v>
      </c>
      <c r="E111" s="22"/>
    </row>
    <row r="114" spans="1:5" x14ac:dyDescent="0.25">
      <c r="A114" s="189" t="s">
        <v>59</v>
      </c>
      <c r="B114" s="189"/>
      <c r="C114" s="189"/>
      <c r="D114" s="189"/>
      <c r="E114" s="189"/>
    </row>
    <row r="115" spans="1:5" x14ac:dyDescent="0.25">
      <c r="A115" s="2"/>
    </row>
    <row r="116" spans="1:5" x14ac:dyDescent="0.25">
      <c r="A116" s="32">
        <v>4</v>
      </c>
      <c r="B116" s="56" t="s">
        <v>60</v>
      </c>
      <c r="C116" s="57"/>
      <c r="D116" s="32" t="s">
        <v>3</v>
      </c>
      <c r="E116" s="32" t="s">
        <v>90</v>
      </c>
    </row>
    <row r="117" spans="1:5" x14ac:dyDescent="0.25">
      <c r="A117" s="5" t="s">
        <v>49</v>
      </c>
      <c r="B117" s="58" t="s">
        <v>50</v>
      </c>
      <c r="C117" s="59"/>
      <c r="D117" s="6">
        <f>D104</f>
        <v>27.28438579775311</v>
      </c>
      <c r="E117" s="22"/>
    </row>
    <row r="118" spans="1:5" x14ac:dyDescent="0.25">
      <c r="A118" s="5" t="s">
        <v>56</v>
      </c>
      <c r="B118" s="58" t="s">
        <v>57</v>
      </c>
      <c r="C118" s="59"/>
      <c r="D118" s="6">
        <f>D111</f>
        <v>0</v>
      </c>
      <c r="E118" s="22"/>
    </row>
    <row r="119" spans="1:5" x14ac:dyDescent="0.25">
      <c r="A119" s="190" t="s">
        <v>15</v>
      </c>
      <c r="B119" s="198"/>
      <c r="C119" s="191"/>
      <c r="D119" s="10">
        <f>SUM(D117:D118)</f>
        <v>27.28438579775311</v>
      </c>
      <c r="E119" s="22"/>
    </row>
    <row r="122" spans="1:5" x14ac:dyDescent="0.25">
      <c r="A122" s="189" t="s">
        <v>61</v>
      </c>
      <c r="B122" s="189"/>
      <c r="C122" s="189"/>
      <c r="D122" s="189"/>
      <c r="E122" s="189"/>
    </row>
    <row r="124" spans="1:5" x14ac:dyDescent="0.25">
      <c r="A124" s="32">
        <v>5</v>
      </c>
      <c r="B124" s="56" t="s">
        <v>62</v>
      </c>
      <c r="C124" s="57"/>
      <c r="D124" s="32" t="s">
        <v>3</v>
      </c>
      <c r="E124" s="32" t="s">
        <v>90</v>
      </c>
    </row>
    <row r="125" spans="1:5" x14ac:dyDescent="0.25">
      <c r="A125" s="5" t="s">
        <v>4</v>
      </c>
      <c r="B125" s="58" t="s">
        <v>63</v>
      </c>
      <c r="C125" s="59"/>
      <c r="D125" s="6">
        <f>SUMIFS(Uniformes!G:G,Uniformes!H:H,Copeira!$C$18)</f>
        <v>73.52</v>
      </c>
      <c r="E125" s="45" t="s">
        <v>189</v>
      </c>
    </row>
    <row r="126" spans="1:5" x14ac:dyDescent="0.25">
      <c r="A126" s="5" t="s">
        <v>6</v>
      </c>
      <c r="B126" s="58" t="s">
        <v>64</v>
      </c>
      <c r="C126" s="59"/>
      <c r="D126" s="6">
        <f>SUMIFS(Materiais!H:H,Materiais!I:I,Copeira!C18)</f>
        <v>0</v>
      </c>
      <c r="E126" s="45" t="s">
        <v>189</v>
      </c>
    </row>
    <row r="127" spans="1:5" x14ac:dyDescent="0.25">
      <c r="A127" s="5" t="s">
        <v>8</v>
      </c>
      <c r="B127" s="58" t="s">
        <v>65</v>
      </c>
      <c r="C127" s="59"/>
      <c r="D127" s="6">
        <f>IFERROR(SUMIFS(Equipamentos!J:J,Equipamentos!K:K,Copeira!$C$18)/SUM(Resumo!H5:H9),0)</f>
        <v>0</v>
      </c>
      <c r="E127" s="45" t="s">
        <v>193</v>
      </c>
    </row>
    <row r="128" spans="1:5" x14ac:dyDescent="0.25">
      <c r="A128" s="5" t="s">
        <v>10</v>
      </c>
      <c r="B128" s="58" t="s">
        <v>155</v>
      </c>
      <c r="C128" s="59"/>
      <c r="D128" s="6">
        <f>SUMIFS(EPIs!G:G,EPIs!H:H,Copeira!$C$18)</f>
        <v>0</v>
      </c>
      <c r="E128" s="22"/>
    </row>
    <row r="129" spans="1:5" x14ac:dyDescent="0.25">
      <c r="A129" s="190" t="s">
        <v>34</v>
      </c>
      <c r="B129" s="198"/>
      <c r="C129" s="191"/>
      <c r="D129" s="10">
        <f>SUM(D125:D128)</f>
        <v>73.52</v>
      </c>
      <c r="E129" s="22"/>
    </row>
    <row r="132" spans="1:5" x14ac:dyDescent="0.25">
      <c r="A132" s="189" t="s">
        <v>66</v>
      </c>
      <c r="B132" s="189"/>
      <c r="C132" s="189"/>
      <c r="D132" s="189"/>
      <c r="E132" s="189"/>
    </row>
    <row r="134" spans="1:5" x14ac:dyDescent="0.25">
      <c r="A134" s="32">
        <v>6</v>
      </c>
      <c r="B134" s="11" t="s">
        <v>67</v>
      </c>
      <c r="C134" s="32" t="s">
        <v>24</v>
      </c>
      <c r="D134" s="32" t="s">
        <v>3</v>
      </c>
      <c r="E134" s="32" t="s">
        <v>129</v>
      </c>
    </row>
    <row r="135" spans="1:5" x14ac:dyDescent="0.25">
      <c r="A135" s="5" t="s">
        <v>4</v>
      </c>
      <c r="B135" s="7" t="s">
        <v>68</v>
      </c>
      <c r="C135" s="13">
        <v>0.05</v>
      </c>
      <c r="D135" s="6">
        <f>(D31+D78+D90+D119+D129)*C135</f>
        <v>179.05737519822102</v>
      </c>
      <c r="E135" s="45"/>
    </row>
    <row r="136" spans="1:5" x14ac:dyDescent="0.25">
      <c r="A136" s="5" t="s">
        <v>6</v>
      </c>
      <c r="B136" s="7" t="s">
        <v>69</v>
      </c>
      <c r="C136" s="13">
        <v>0.1</v>
      </c>
      <c r="D136" s="6">
        <f>(D31+D78+D90+D119+D129+D135)*C136</f>
        <v>376.02048791626413</v>
      </c>
      <c r="E136" s="45"/>
    </row>
    <row r="137" spans="1:5" x14ac:dyDescent="0.25">
      <c r="A137" s="5" t="s">
        <v>8</v>
      </c>
      <c r="B137" s="7" t="s">
        <v>118</v>
      </c>
      <c r="C137" s="13">
        <f>C139+C140+C143</f>
        <v>0.14250000000000002</v>
      </c>
      <c r="D137" s="6">
        <f>SUM(D138:D143)</f>
        <v>687.36106683235448</v>
      </c>
      <c r="E137" s="45"/>
    </row>
    <row r="138" spans="1:5" ht="15.75" hidden="1" customHeight="1" x14ac:dyDescent="0.25">
      <c r="A138" s="5"/>
      <c r="B138" s="7" t="s">
        <v>70</v>
      </c>
      <c r="C138" s="12"/>
      <c r="D138" s="6"/>
      <c r="E138" s="45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79.589176159535782</v>
      </c>
      <c r="E139" s="45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366.59256897725572</v>
      </c>
      <c r="E140" s="45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5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5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Presumido",Informações!$B$4,IF(Informações!$B$4="Lucro Real",Informações!$B$5)))</f>
        <v>0.05</v>
      </c>
      <c r="D143" s="6">
        <f>(($D$31+$D$78+$D$90+$D$119+$D$129+$D$135+$D$136)/(1-$C$137))*C143</f>
        <v>241.17932169556298</v>
      </c>
      <c r="E143" s="45"/>
    </row>
    <row r="144" spans="1:5" x14ac:dyDescent="0.25">
      <c r="A144" s="32" t="s">
        <v>34</v>
      </c>
      <c r="B144" s="32"/>
      <c r="C144" s="10"/>
      <c r="D144" s="10">
        <f>D135+D136+D137</f>
        <v>1242.4389299468396</v>
      </c>
      <c r="E144" s="22"/>
    </row>
    <row r="147" spans="1:5" x14ac:dyDescent="0.25">
      <c r="A147" s="189" t="s">
        <v>73</v>
      </c>
      <c r="B147" s="189"/>
      <c r="C147" s="189"/>
      <c r="D147" s="189"/>
      <c r="E147" s="189"/>
    </row>
    <row r="149" spans="1:5" x14ac:dyDescent="0.25">
      <c r="A149" s="32"/>
      <c r="B149" s="56" t="s">
        <v>74</v>
      </c>
      <c r="C149" s="57"/>
      <c r="D149" s="32" t="s">
        <v>3</v>
      </c>
      <c r="E149" s="32" t="s">
        <v>90</v>
      </c>
    </row>
    <row r="150" spans="1:5" x14ac:dyDescent="0.25">
      <c r="A150" s="5" t="s">
        <v>4</v>
      </c>
      <c r="B150" s="58" t="s">
        <v>1</v>
      </c>
      <c r="C150" s="59"/>
      <c r="D150" s="6">
        <f>D31</f>
        <v>1412.2800000000002</v>
      </c>
      <c r="E150" s="22"/>
    </row>
    <row r="151" spans="1:5" x14ac:dyDescent="0.25">
      <c r="A151" s="5" t="s">
        <v>6</v>
      </c>
      <c r="B151" s="58" t="s">
        <v>16</v>
      </c>
      <c r="C151" s="59"/>
      <c r="D151" s="6">
        <f>D78</f>
        <v>1947.14122</v>
      </c>
      <c r="E151" s="22"/>
    </row>
    <row r="152" spans="1:5" x14ac:dyDescent="0.25">
      <c r="A152" s="5" t="s">
        <v>8</v>
      </c>
      <c r="B152" s="58" t="s">
        <v>41</v>
      </c>
      <c r="C152" s="59"/>
      <c r="D152" s="6">
        <f>D90</f>
        <v>120.92189816666669</v>
      </c>
      <c r="E152" s="22"/>
    </row>
    <row r="153" spans="1:5" x14ac:dyDescent="0.25">
      <c r="A153" s="5" t="s">
        <v>10</v>
      </c>
      <c r="B153" s="58" t="s">
        <v>47</v>
      </c>
      <c r="C153" s="41"/>
      <c r="D153" s="6">
        <f>D119</f>
        <v>27.28438579775311</v>
      </c>
      <c r="E153" s="22"/>
    </row>
    <row r="154" spans="1:5" x14ac:dyDescent="0.25">
      <c r="A154" s="5" t="s">
        <v>12</v>
      </c>
      <c r="B154" s="58" t="s">
        <v>61</v>
      </c>
      <c r="C154" s="41"/>
      <c r="D154" s="6">
        <f>D129</f>
        <v>73.52</v>
      </c>
      <c r="E154" s="22"/>
    </row>
    <row r="155" spans="1:5" ht="15.75" customHeight="1" x14ac:dyDescent="0.25">
      <c r="A155" s="190" t="s">
        <v>75</v>
      </c>
      <c r="B155" s="198"/>
      <c r="C155" s="191"/>
      <c r="D155" s="10">
        <f>SUM(D150:D154)</f>
        <v>3581.1475039644201</v>
      </c>
      <c r="E155" s="22"/>
    </row>
    <row r="156" spans="1:5" x14ac:dyDescent="0.25">
      <c r="A156" s="23" t="s">
        <v>29</v>
      </c>
      <c r="B156" s="58" t="s">
        <v>76</v>
      </c>
      <c r="C156" s="41"/>
      <c r="D156" s="6">
        <f>D144</f>
        <v>1242.4389299468396</v>
      </c>
      <c r="E156" s="22"/>
    </row>
    <row r="157" spans="1:5" ht="15.75" customHeight="1" x14ac:dyDescent="0.25">
      <c r="A157" s="190" t="s">
        <v>77</v>
      </c>
      <c r="B157" s="198"/>
      <c r="C157" s="191"/>
      <c r="D157" s="10">
        <f>D155+D156</f>
        <v>4823.5864339112595</v>
      </c>
      <c r="E157" s="22"/>
    </row>
    <row r="158" spans="1:5" ht="15.75" customHeight="1" x14ac:dyDescent="0.25">
      <c r="A158" s="190" t="s">
        <v>83</v>
      </c>
      <c r="B158" s="198"/>
      <c r="C158" s="191"/>
      <c r="D158" s="10">
        <f>D157*$E$12</f>
        <v>4823.5864339112595</v>
      </c>
      <c r="E158" s="22"/>
    </row>
    <row r="159" spans="1:5" ht="15.75" customHeight="1" x14ac:dyDescent="0.25">
      <c r="A159" s="190" t="s">
        <v>84</v>
      </c>
      <c r="B159" s="198"/>
      <c r="C159" s="191"/>
      <c r="D159" s="10">
        <f>D158*12</f>
        <v>57883.037206935114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5" manualBreakCount="5">
    <brk id="33" max="6" man="1"/>
    <brk id="58" max="6" man="1"/>
    <brk id="90" max="6" man="1"/>
    <brk id="121" max="6" man="1"/>
    <brk id="146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A46" zoomScaleNormal="100" workbookViewId="0">
      <selection activeCell="D126" sqref="D12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58" t="s">
        <v>109</v>
      </c>
      <c r="C5" s="195"/>
      <c r="D5" s="196"/>
      <c r="H5" s="15"/>
    </row>
    <row r="6" spans="1:9" x14ac:dyDescent="0.25">
      <c r="A6" s="5" t="s">
        <v>6</v>
      </c>
      <c r="B6" s="58" t="s">
        <v>110</v>
      </c>
      <c r="C6" s="196"/>
      <c r="D6" s="196"/>
      <c r="H6" s="15"/>
    </row>
    <row r="7" spans="1:9" ht="25.5" x14ac:dyDescent="0.25">
      <c r="A7" s="5" t="s">
        <v>8</v>
      </c>
      <c r="B7" s="58" t="s">
        <v>111</v>
      </c>
      <c r="C7" s="196"/>
      <c r="D7" s="196"/>
      <c r="H7" s="15"/>
    </row>
    <row r="8" spans="1:9" x14ac:dyDescent="0.25">
      <c r="A8" s="5" t="s">
        <v>10</v>
      </c>
      <c r="B8" s="58" t="s">
        <v>112</v>
      </c>
      <c r="C8" s="196"/>
      <c r="D8" s="196"/>
      <c r="H8" s="15"/>
    </row>
    <row r="9" spans="1:9" x14ac:dyDescent="0.25">
      <c r="A9" s="197"/>
      <c r="B9" s="197"/>
      <c r="C9" s="197"/>
      <c r="D9" s="197"/>
      <c r="E9" s="60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203" t="s">
        <v>79</v>
      </c>
      <c r="B11" s="203"/>
      <c r="C11" s="33" t="s">
        <v>80</v>
      </c>
      <c r="D11" s="87" t="s">
        <v>81</v>
      </c>
      <c r="E11" s="87" t="s">
        <v>188</v>
      </c>
    </row>
    <row r="12" spans="1:9" ht="15.75" customHeight="1" x14ac:dyDescent="0.25">
      <c r="A12" s="204" t="s">
        <v>104</v>
      </c>
      <c r="B12" s="204"/>
      <c r="C12" s="201" t="s">
        <v>82</v>
      </c>
      <c r="D12" s="201"/>
      <c r="E12" s="201"/>
    </row>
    <row r="13" spans="1:9" x14ac:dyDescent="0.25">
      <c r="A13" s="205"/>
      <c r="B13" s="205"/>
      <c r="C13" s="202"/>
      <c r="D13" s="202"/>
      <c r="E13" s="202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193" t="s">
        <v>104</v>
      </c>
      <c r="D15" s="193"/>
      <c r="E15" s="193"/>
      <c r="F15" s="37"/>
    </row>
    <row r="16" spans="1:9" x14ac:dyDescent="0.25">
      <c r="A16" s="39">
        <v>2</v>
      </c>
      <c r="B16" s="38" t="s">
        <v>114</v>
      </c>
      <c r="C16" s="193"/>
      <c r="D16" s="193"/>
      <c r="E16" s="193"/>
      <c r="F16" s="37"/>
    </row>
    <row r="17" spans="1:6" x14ac:dyDescent="0.25">
      <c r="A17" s="39">
        <v>3</v>
      </c>
      <c r="B17" s="38" t="s">
        <v>115</v>
      </c>
      <c r="C17" s="193"/>
      <c r="D17" s="193"/>
      <c r="E17" s="193"/>
      <c r="F17" s="37"/>
    </row>
    <row r="18" spans="1:6" x14ac:dyDescent="0.25">
      <c r="A18" s="39">
        <v>4</v>
      </c>
      <c r="B18" s="38" t="s">
        <v>116</v>
      </c>
      <c r="C18" s="193" t="s">
        <v>158</v>
      </c>
      <c r="D18" s="193"/>
      <c r="E18" s="193"/>
      <c r="F18" s="37"/>
    </row>
    <row r="19" spans="1:6" x14ac:dyDescent="0.25">
      <c r="A19" s="39">
        <v>5</v>
      </c>
      <c r="B19" s="38" t="s">
        <v>117</v>
      </c>
      <c r="C19" s="193"/>
      <c r="D19" s="193"/>
      <c r="E19" s="193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1459.21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43.1</v>
      </c>
      <c r="E30" s="22" t="s">
        <v>140</v>
      </c>
    </row>
    <row r="31" spans="1:6" x14ac:dyDescent="0.25">
      <c r="A31" s="5" t="s">
        <v>14</v>
      </c>
      <c r="B31" s="58" t="s">
        <v>191</v>
      </c>
      <c r="C31" s="13"/>
      <c r="D31" s="6">
        <f>1100*C31</f>
        <v>0</v>
      </c>
      <c r="E31" s="22" t="s">
        <v>140</v>
      </c>
    </row>
    <row r="32" spans="1:6" x14ac:dyDescent="0.25">
      <c r="A32" s="190" t="s">
        <v>15</v>
      </c>
      <c r="B32" s="191"/>
      <c r="C32" s="10"/>
      <c r="D32" s="10">
        <f>SUM(D25:D31)</f>
        <v>1502.31</v>
      </c>
      <c r="E32" s="10"/>
    </row>
    <row r="35" spans="1:5" x14ac:dyDescent="0.25">
      <c r="A35" s="189" t="s">
        <v>16</v>
      </c>
      <c r="B35" s="189"/>
      <c r="C35" s="189"/>
      <c r="D35" s="189"/>
      <c r="E35" s="189"/>
    </row>
    <row r="36" spans="1:5" x14ac:dyDescent="0.25">
      <c r="A36" s="2"/>
    </row>
    <row r="37" spans="1:5" x14ac:dyDescent="0.25">
      <c r="A37" s="189" t="s">
        <v>17</v>
      </c>
      <c r="B37" s="189"/>
      <c r="C37" s="189"/>
      <c r="D37" s="189"/>
      <c r="E37" s="189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190" t="s">
        <v>15</v>
      </c>
      <c r="B43" s="191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189" t="s">
        <v>21</v>
      </c>
      <c r="B46" s="189"/>
      <c r="C46" s="189"/>
      <c r="D46" s="189"/>
      <c r="E46" s="189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190" t="s">
        <v>34</v>
      </c>
      <c r="B57" s="191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189" t="s">
        <v>35</v>
      </c>
      <c r="B60" s="189"/>
      <c r="C60" s="189"/>
      <c r="D60" s="189"/>
      <c r="E60" s="189"/>
    </row>
    <row r="62" spans="1:5" x14ac:dyDescent="0.25">
      <c r="A62" s="32" t="s">
        <v>36</v>
      </c>
      <c r="B62" s="190" t="s">
        <v>37</v>
      </c>
      <c r="C62" s="191"/>
      <c r="D62" s="32" t="s">
        <v>3</v>
      </c>
      <c r="E62" s="32" t="s">
        <v>129</v>
      </c>
    </row>
    <row r="63" spans="1:5" ht="64.5" x14ac:dyDescent="0.25">
      <c r="A63" s="5" t="s">
        <v>4</v>
      </c>
      <c r="B63" s="199" t="s">
        <v>120</v>
      </c>
      <c r="C63" s="200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199" t="s">
        <v>38</v>
      </c>
      <c r="C64" s="200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218</v>
      </c>
    </row>
    <row r="65" spans="1:5" x14ac:dyDescent="0.25">
      <c r="A65" s="5" t="s">
        <v>8</v>
      </c>
      <c r="B65" s="199" t="s">
        <v>106</v>
      </c>
      <c r="C65" s="200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199" t="s">
        <v>214</v>
      </c>
      <c r="C66" s="200"/>
      <c r="D66" s="6">
        <v>49</v>
      </c>
      <c r="E66" s="22" t="s">
        <v>140</v>
      </c>
    </row>
    <row r="67" spans="1:5" x14ac:dyDescent="0.25">
      <c r="A67" s="5" t="s">
        <v>12</v>
      </c>
      <c r="B67" s="199" t="s">
        <v>191</v>
      </c>
      <c r="C67" s="200"/>
      <c r="D67" s="6"/>
      <c r="E67" s="22" t="s">
        <v>140</v>
      </c>
    </row>
    <row r="68" spans="1:5" x14ac:dyDescent="0.25">
      <c r="A68" s="5" t="s">
        <v>29</v>
      </c>
      <c r="B68" s="199" t="s">
        <v>191</v>
      </c>
      <c r="C68" s="200"/>
      <c r="D68" s="6"/>
      <c r="E68" s="22" t="s">
        <v>140</v>
      </c>
    </row>
    <row r="69" spans="1:5" x14ac:dyDescent="0.25">
      <c r="A69" s="5" t="s">
        <v>14</v>
      </c>
      <c r="B69" s="199" t="s">
        <v>191</v>
      </c>
      <c r="C69" s="200"/>
      <c r="D69" s="6"/>
      <c r="E69" s="22" t="s">
        <v>140</v>
      </c>
    </row>
    <row r="70" spans="1:5" x14ac:dyDescent="0.25">
      <c r="A70" s="190" t="s">
        <v>15</v>
      </c>
      <c r="B70" s="198"/>
      <c r="C70" s="191"/>
      <c r="D70" s="10">
        <f>SUM(D63:D69)</f>
        <v>631.57540000000006</v>
      </c>
      <c r="E70" s="22"/>
    </row>
    <row r="73" spans="1:5" x14ac:dyDescent="0.25">
      <c r="A73" s="189" t="s">
        <v>39</v>
      </c>
      <c r="B73" s="189"/>
      <c r="C73" s="189"/>
      <c r="D73" s="189"/>
      <c r="E73" s="189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292.11583333333334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714.18148166666674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631.57540000000006</v>
      </c>
      <c r="E78" s="22"/>
    </row>
    <row r="79" spans="1:5" x14ac:dyDescent="0.25">
      <c r="A79" s="190" t="s">
        <v>15</v>
      </c>
      <c r="B79" s="198"/>
      <c r="C79" s="191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189" t="s">
        <v>41</v>
      </c>
      <c r="B82" s="189"/>
      <c r="C82" s="189"/>
      <c r="D82" s="189"/>
      <c r="E82" s="189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189" t="s">
        <v>47</v>
      </c>
      <c r="B94" s="189"/>
      <c r="C94" s="189"/>
      <c r="D94" s="189"/>
      <c r="E94" s="189"/>
    </row>
    <row r="96" spans="1:5" x14ac:dyDescent="0.25">
      <c r="A96" s="189" t="s">
        <v>48</v>
      </c>
      <c r="B96" s="189"/>
      <c r="C96" s="189"/>
      <c r="D96" s="189"/>
      <c r="E96" s="189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190" t="s">
        <v>34</v>
      </c>
      <c r="B105" s="198"/>
      <c r="C105" s="191"/>
      <c r="D105" s="10">
        <f>SUM(D99:D104)</f>
        <v>25.626082196077938</v>
      </c>
      <c r="E105" s="22"/>
    </row>
    <row r="108" spans="1:5" x14ac:dyDescent="0.25">
      <c r="A108" s="189" t="s">
        <v>55</v>
      </c>
      <c r="B108" s="189"/>
      <c r="C108" s="189"/>
      <c r="D108" s="189"/>
      <c r="E108" s="189"/>
    </row>
    <row r="109" spans="1:5" x14ac:dyDescent="0.25">
      <c r="A109" s="2"/>
    </row>
    <row r="110" spans="1:5" x14ac:dyDescent="0.25">
      <c r="A110" s="32" t="s">
        <v>56</v>
      </c>
      <c r="B110" s="190" t="s">
        <v>57</v>
      </c>
      <c r="C110" s="191"/>
      <c r="D110" s="32" t="s">
        <v>3</v>
      </c>
      <c r="E110" s="32" t="s">
        <v>129</v>
      </c>
    </row>
    <row r="111" spans="1:5" x14ac:dyDescent="0.25">
      <c r="A111" s="5" t="s">
        <v>4</v>
      </c>
      <c r="B111" s="199" t="s">
        <v>58</v>
      </c>
      <c r="C111" s="200"/>
      <c r="D111" s="6"/>
      <c r="E111" s="22"/>
    </row>
    <row r="112" spans="1:5" x14ac:dyDescent="0.25">
      <c r="A112" s="190" t="s">
        <v>15</v>
      </c>
      <c r="B112" s="198"/>
      <c r="C112" s="191"/>
      <c r="D112" s="6">
        <f>D111</f>
        <v>0</v>
      </c>
      <c r="E112" s="22"/>
    </row>
    <row r="115" spans="1:5" x14ac:dyDescent="0.25">
      <c r="A115" s="189" t="s">
        <v>59</v>
      </c>
      <c r="B115" s="189"/>
      <c r="C115" s="189"/>
      <c r="D115" s="189"/>
      <c r="E115" s="189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25.626082196077938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190" t="s">
        <v>15</v>
      </c>
      <c r="B120" s="198"/>
      <c r="C120" s="191"/>
      <c r="D120" s="10">
        <f>SUM(D118:D119)</f>
        <v>25.626082196077938</v>
      </c>
      <c r="E120" s="22"/>
    </row>
    <row r="123" spans="1:5" x14ac:dyDescent="0.25">
      <c r="A123" s="189" t="s">
        <v>61</v>
      </c>
      <c r="B123" s="189"/>
      <c r="C123" s="189"/>
      <c r="D123" s="189"/>
      <c r="E123" s="189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SUMIFS(Uniformes!G:G,Uniformes!H:H,Jardineiro!$C$18)</f>
        <v>0</v>
      </c>
      <c r="E126" s="45" t="s">
        <v>189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SUMIFS(Materiais!H:H,Materiais!I:I,Jardineiro!C18)</f>
        <v>0</v>
      </c>
      <c r="E127" s="45" t="s">
        <v>189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IFERROR(SUMIFS(Equipamentos!J:J,Equipamentos!K:K,Jardineiro!$C$18)/SUM(Resumo!H10:H12),0)</f>
        <v>0</v>
      </c>
      <c r="E128" s="45" t="s">
        <v>193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SUMIFS(EPIs!G:G,EPIs!H:H,Jardineiro!$C$18)</f>
        <v>0</v>
      </c>
      <c r="E129" s="22"/>
    </row>
    <row r="130" spans="1:5" x14ac:dyDescent="0.25">
      <c r="A130" s="190" t="s">
        <v>34</v>
      </c>
      <c r="B130" s="198"/>
      <c r="C130" s="191"/>
      <c r="D130" s="10">
        <f>SUM(D126:D129)</f>
        <v>0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164.72196111744279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345.91611834662984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387.84534481288796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69.183223669325969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318.66212114356199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Real",$G$4)))</f>
        <v>0</v>
      </c>
      <c r="D144" s="6">
        <f>(($D$32+$D$79+$D$91+$D$120+$D$130+$D$136+$D$137)/(1-$C$138))*C144</f>
        <v>0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898.48342427696059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1502.31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1637.872715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128.63042515277778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0</v>
      </c>
      <c r="E155" s="22"/>
    </row>
    <row r="156" spans="1:5" ht="15.75" customHeight="1" x14ac:dyDescent="0.25">
      <c r="A156" s="190" t="s">
        <v>75</v>
      </c>
      <c r="B156" s="198"/>
      <c r="C156" s="191"/>
      <c r="D156" s="10">
        <f>SUM(D151:D155)</f>
        <v>3294.4392223488553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898.48342427696059</v>
      </c>
      <c r="E157" s="22"/>
    </row>
    <row r="158" spans="1:5" ht="15.75" customHeight="1" x14ac:dyDescent="0.25">
      <c r="A158" s="190" t="s">
        <v>77</v>
      </c>
      <c r="B158" s="198"/>
      <c r="C158" s="191"/>
      <c r="D158" s="10">
        <f>D156+D157</f>
        <v>4192.922646625816</v>
      </c>
      <c r="E158" s="22"/>
    </row>
    <row r="159" spans="1:5" ht="15.75" customHeight="1" x14ac:dyDescent="0.25">
      <c r="A159" s="190" t="s">
        <v>83</v>
      </c>
      <c r="B159" s="198"/>
      <c r="C159" s="191"/>
      <c r="D159" s="10" t="e">
        <f>D158*#REF!</f>
        <v>#REF!</v>
      </c>
      <c r="E159" s="22"/>
    </row>
    <row r="160" spans="1:5" ht="15.75" customHeight="1" x14ac:dyDescent="0.25">
      <c r="A160" s="190" t="s">
        <v>84</v>
      </c>
      <c r="B160" s="198"/>
      <c r="C160" s="191"/>
      <c r="D160" s="10" t="e">
        <f>D159*12</f>
        <v>#REF!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E44" sqref="E44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6"/>
    </row>
    <row r="2" spans="1:9" x14ac:dyDescent="0.25">
      <c r="A2" s="61" t="s">
        <v>107</v>
      </c>
      <c r="B2" s="61"/>
      <c r="G2" s="89"/>
      <c r="H2" s="15" t="s">
        <v>85</v>
      </c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140" t="s">
        <v>109</v>
      </c>
      <c r="C5" s="195"/>
      <c r="D5" s="196"/>
      <c r="H5" s="15"/>
    </row>
    <row r="6" spans="1:9" x14ac:dyDescent="0.25">
      <c r="A6" s="5" t="s">
        <v>6</v>
      </c>
      <c r="B6" s="140" t="s">
        <v>110</v>
      </c>
      <c r="C6" s="196"/>
      <c r="D6" s="196"/>
      <c r="H6" s="15"/>
    </row>
    <row r="7" spans="1:9" ht="25.5" x14ac:dyDescent="0.25">
      <c r="A7" s="5" t="s">
        <v>8</v>
      </c>
      <c r="B7" s="140" t="s">
        <v>111</v>
      </c>
      <c r="C7" s="196"/>
      <c r="D7" s="196"/>
      <c r="H7" s="15"/>
    </row>
    <row r="8" spans="1:9" x14ac:dyDescent="0.25">
      <c r="A8" s="5" t="s">
        <v>10</v>
      </c>
      <c r="B8" s="140" t="s">
        <v>112</v>
      </c>
      <c r="C8" s="196"/>
      <c r="D8" s="196"/>
      <c r="H8" s="15"/>
    </row>
    <row r="9" spans="1:9" x14ac:dyDescent="0.25">
      <c r="A9" s="197"/>
      <c r="B9" s="197"/>
      <c r="C9" s="197"/>
      <c r="D9" s="197"/>
      <c r="E9" s="139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203" t="s">
        <v>79</v>
      </c>
      <c r="B11" s="203"/>
      <c r="C11" s="87" t="s">
        <v>80</v>
      </c>
      <c r="D11" s="87" t="s">
        <v>81</v>
      </c>
      <c r="E11" s="87" t="s">
        <v>188</v>
      </c>
    </row>
    <row r="12" spans="1:9" ht="15.75" customHeight="1" x14ac:dyDescent="0.25">
      <c r="A12" s="204" t="s">
        <v>104</v>
      </c>
      <c r="B12" s="204"/>
      <c r="C12" s="201" t="s">
        <v>82</v>
      </c>
      <c r="D12" s="201">
        <v>1</v>
      </c>
      <c r="E12" s="201">
        <v>1</v>
      </c>
    </row>
    <row r="13" spans="1:9" x14ac:dyDescent="0.25">
      <c r="A13" s="205"/>
      <c r="B13" s="205"/>
      <c r="C13" s="202"/>
      <c r="D13" s="202"/>
      <c r="E13" s="202"/>
    </row>
    <row r="14" spans="1:9" x14ac:dyDescent="0.25">
      <c r="A14" s="4"/>
      <c r="B14" s="4"/>
      <c r="C14" s="4"/>
      <c r="D14" s="4"/>
      <c r="E14" s="4"/>
    </row>
    <row r="15" spans="1:9" x14ac:dyDescent="0.25">
      <c r="A15" s="138">
        <v>1</v>
      </c>
      <c r="B15" s="38" t="s">
        <v>113</v>
      </c>
      <c r="C15" s="193" t="s">
        <v>104</v>
      </c>
      <c r="D15" s="193"/>
      <c r="E15" s="193"/>
      <c r="F15" s="37"/>
    </row>
    <row r="16" spans="1:9" x14ac:dyDescent="0.25">
      <c r="A16" s="138">
        <v>2</v>
      </c>
      <c r="B16" s="38" t="s">
        <v>114</v>
      </c>
      <c r="C16" s="193"/>
      <c r="D16" s="193"/>
      <c r="E16" s="193"/>
      <c r="F16" s="37"/>
    </row>
    <row r="17" spans="1:6" x14ac:dyDescent="0.25">
      <c r="A17" s="138">
        <v>3</v>
      </c>
      <c r="B17" s="38" t="s">
        <v>115</v>
      </c>
      <c r="C17" s="210">
        <f>$D$25+$D$30</f>
        <v>1502.31</v>
      </c>
      <c r="D17" s="193"/>
      <c r="E17" s="193"/>
      <c r="F17" s="37"/>
    </row>
    <row r="18" spans="1:6" x14ac:dyDescent="0.25">
      <c r="A18" s="138">
        <v>4</v>
      </c>
      <c r="B18" s="38" t="s">
        <v>116</v>
      </c>
      <c r="C18" s="193" t="s">
        <v>304</v>
      </c>
      <c r="D18" s="193"/>
      <c r="E18" s="193"/>
      <c r="F18" s="37"/>
    </row>
    <row r="19" spans="1:6" x14ac:dyDescent="0.25">
      <c r="A19" s="138">
        <v>5</v>
      </c>
      <c r="B19" s="38" t="s">
        <v>117</v>
      </c>
      <c r="C19" s="193"/>
      <c r="D19" s="193"/>
      <c r="E19" s="193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2">
        <v>1</v>
      </c>
      <c r="B24" s="13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40" t="s">
        <v>5</v>
      </c>
      <c r="C25" s="13"/>
      <c r="D25" s="6">
        <f>Jardineiro!D25</f>
        <v>1459.21</v>
      </c>
      <c r="E25" s="22" t="s">
        <v>140</v>
      </c>
    </row>
    <row r="26" spans="1:6" x14ac:dyDescent="0.25">
      <c r="A26" s="5" t="s">
        <v>6</v>
      </c>
      <c r="B26" s="140" t="s">
        <v>7</v>
      </c>
      <c r="C26" s="13">
        <v>0</v>
      </c>
      <c r="D26" s="6">
        <f>Jardineiro!D26</f>
        <v>0</v>
      </c>
      <c r="E26" s="22" t="s">
        <v>140</v>
      </c>
    </row>
    <row r="27" spans="1:6" x14ac:dyDescent="0.25">
      <c r="A27" s="5" t="s">
        <v>8</v>
      </c>
      <c r="B27" s="140" t="s">
        <v>9</v>
      </c>
      <c r="C27" s="13">
        <v>0</v>
      </c>
      <c r="D27" s="6">
        <f>Jardineiro!D27</f>
        <v>0</v>
      </c>
      <c r="E27" s="22" t="s">
        <v>140</v>
      </c>
    </row>
    <row r="28" spans="1:6" x14ac:dyDescent="0.25">
      <c r="A28" s="5" t="s">
        <v>10</v>
      </c>
      <c r="B28" s="140" t="s">
        <v>11</v>
      </c>
      <c r="C28" s="13"/>
      <c r="D28" s="6">
        <f>Jardineiro!D28</f>
        <v>0</v>
      </c>
      <c r="E28" s="22" t="s">
        <v>140</v>
      </c>
    </row>
    <row r="29" spans="1:6" x14ac:dyDescent="0.25">
      <c r="A29" s="5" t="s">
        <v>12</v>
      </c>
      <c r="B29" s="140" t="s">
        <v>13</v>
      </c>
      <c r="C29" s="13"/>
      <c r="D29" s="6">
        <f>Jardineiro!D29</f>
        <v>0</v>
      </c>
      <c r="E29" s="22" t="s">
        <v>140</v>
      </c>
    </row>
    <row r="30" spans="1:6" x14ac:dyDescent="0.25">
      <c r="A30" s="5" t="s">
        <v>14</v>
      </c>
      <c r="B30" s="140" t="s">
        <v>105</v>
      </c>
      <c r="C30" s="13"/>
      <c r="D30" s="6">
        <f>Jardineiro!D30</f>
        <v>43.1</v>
      </c>
      <c r="E30" s="22" t="s">
        <v>140</v>
      </c>
    </row>
    <row r="31" spans="1:6" x14ac:dyDescent="0.25">
      <c r="A31" s="5" t="s">
        <v>14</v>
      </c>
      <c r="B31" s="140" t="s">
        <v>191</v>
      </c>
      <c r="C31" s="13"/>
      <c r="D31" s="6">
        <f>Jardineiro!D31</f>
        <v>0</v>
      </c>
      <c r="E31" s="22" t="s">
        <v>140</v>
      </c>
    </row>
    <row r="32" spans="1:6" x14ac:dyDescent="0.25">
      <c r="A32" s="190" t="s">
        <v>15</v>
      </c>
      <c r="B32" s="191"/>
      <c r="C32" s="10"/>
      <c r="D32" s="10">
        <f>SUM(D25:D31)</f>
        <v>1502.31</v>
      </c>
      <c r="E32" s="10"/>
    </row>
    <row r="35" spans="1:5" x14ac:dyDescent="0.25">
      <c r="A35" s="189" t="s">
        <v>16</v>
      </c>
      <c r="B35" s="189"/>
      <c r="C35" s="189"/>
      <c r="D35" s="189"/>
      <c r="E35" s="189"/>
    </row>
    <row r="36" spans="1:5" x14ac:dyDescent="0.25">
      <c r="A36" s="2"/>
    </row>
    <row r="37" spans="1:5" x14ac:dyDescent="0.25">
      <c r="A37" s="189" t="s">
        <v>17</v>
      </c>
      <c r="B37" s="189"/>
      <c r="C37" s="189"/>
      <c r="D37" s="189"/>
      <c r="E37" s="189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190" t="s">
        <v>15</v>
      </c>
      <c r="B43" s="191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189" t="s">
        <v>21</v>
      </c>
      <c r="B46" s="189"/>
      <c r="C46" s="189"/>
      <c r="D46" s="189"/>
      <c r="E46" s="189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190" t="s">
        <v>34</v>
      </c>
      <c r="B57" s="191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189" t="s">
        <v>35</v>
      </c>
      <c r="B60" s="189"/>
      <c r="C60" s="189"/>
      <c r="D60" s="189"/>
      <c r="E60" s="189"/>
    </row>
    <row r="62" spans="1:5" x14ac:dyDescent="0.25">
      <c r="A62" s="32" t="s">
        <v>36</v>
      </c>
      <c r="B62" s="190" t="s">
        <v>37</v>
      </c>
      <c r="C62" s="191"/>
      <c r="D62" s="32" t="s">
        <v>3</v>
      </c>
      <c r="E62" s="32" t="s">
        <v>129</v>
      </c>
    </row>
    <row r="63" spans="1:5" ht="64.5" x14ac:dyDescent="0.25">
      <c r="A63" s="5" t="s">
        <v>4</v>
      </c>
      <c r="B63" s="199" t="s">
        <v>120</v>
      </c>
      <c r="C63" s="200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199" t="s">
        <v>38</v>
      </c>
      <c r="C64" s="200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218</v>
      </c>
    </row>
    <row r="65" spans="1:5" x14ac:dyDescent="0.25">
      <c r="A65" s="5" t="s">
        <v>8</v>
      </c>
      <c r="B65" s="199" t="s">
        <v>106</v>
      </c>
      <c r="C65" s="200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199" t="s">
        <v>214</v>
      </c>
      <c r="C66" s="200"/>
      <c r="D66" s="6">
        <v>49</v>
      </c>
      <c r="E66" s="22" t="s">
        <v>140</v>
      </c>
    </row>
    <row r="67" spans="1:5" x14ac:dyDescent="0.25">
      <c r="A67" s="5" t="s">
        <v>12</v>
      </c>
      <c r="B67" s="199" t="s">
        <v>191</v>
      </c>
      <c r="C67" s="200"/>
      <c r="D67" s="6"/>
      <c r="E67" s="22" t="s">
        <v>140</v>
      </c>
    </row>
    <row r="68" spans="1:5" x14ac:dyDescent="0.25">
      <c r="A68" s="5" t="s">
        <v>29</v>
      </c>
      <c r="B68" s="199" t="s">
        <v>191</v>
      </c>
      <c r="C68" s="200"/>
      <c r="D68" s="6"/>
      <c r="E68" s="22" t="s">
        <v>140</v>
      </c>
    </row>
    <row r="69" spans="1:5" x14ac:dyDescent="0.25">
      <c r="A69" s="5" t="s">
        <v>14</v>
      </c>
      <c r="B69" s="199" t="s">
        <v>191</v>
      </c>
      <c r="C69" s="200"/>
      <c r="D69" s="6"/>
      <c r="E69" s="22" t="s">
        <v>140</v>
      </c>
    </row>
    <row r="70" spans="1:5" x14ac:dyDescent="0.25">
      <c r="A70" s="190" t="s">
        <v>15</v>
      </c>
      <c r="B70" s="198"/>
      <c r="C70" s="191"/>
      <c r="D70" s="10">
        <f>SUM(D63:D69)</f>
        <v>631.57540000000006</v>
      </c>
      <c r="E70" s="22"/>
    </row>
    <row r="73" spans="1:5" x14ac:dyDescent="0.25">
      <c r="A73" s="189" t="s">
        <v>39</v>
      </c>
      <c r="B73" s="189"/>
      <c r="C73" s="189"/>
      <c r="D73" s="189"/>
      <c r="E73" s="189"/>
    </row>
    <row r="75" spans="1:5" x14ac:dyDescent="0.25">
      <c r="A75" s="32">
        <v>2</v>
      </c>
      <c r="B75" s="136" t="s">
        <v>40</v>
      </c>
      <c r="C75" s="137"/>
      <c r="D75" s="32" t="s">
        <v>3</v>
      </c>
      <c r="E75" s="32" t="s">
        <v>90</v>
      </c>
    </row>
    <row r="76" spans="1:5" x14ac:dyDescent="0.25">
      <c r="A76" s="5" t="s">
        <v>18</v>
      </c>
      <c r="B76" s="140" t="s">
        <v>19</v>
      </c>
      <c r="C76" s="141"/>
      <c r="D76" s="6">
        <f>D43</f>
        <v>292.11583333333334</v>
      </c>
      <c r="E76" s="22"/>
    </row>
    <row r="77" spans="1:5" x14ac:dyDescent="0.25">
      <c r="A77" s="5" t="s">
        <v>22</v>
      </c>
      <c r="B77" s="140" t="s">
        <v>23</v>
      </c>
      <c r="C77" s="141"/>
      <c r="D77" s="6">
        <f>D57</f>
        <v>714.18148166666674</v>
      </c>
      <c r="E77" s="22"/>
    </row>
    <row r="78" spans="1:5" x14ac:dyDescent="0.25">
      <c r="A78" s="5" t="s">
        <v>36</v>
      </c>
      <c r="B78" s="140" t="s">
        <v>37</v>
      </c>
      <c r="C78" s="141"/>
      <c r="D78" s="6">
        <f>D70</f>
        <v>631.57540000000006</v>
      </c>
      <c r="E78" s="22"/>
    </row>
    <row r="79" spans="1:5" x14ac:dyDescent="0.25">
      <c r="A79" s="190" t="s">
        <v>15</v>
      </c>
      <c r="B79" s="198"/>
      <c r="C79" s="191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189" t="s">
        <v>41</v>
      </c>
      <c r="B82" s="189"/>
      <c r="C82" s="189"/>
      <c r="D82" s="189"/>
      <c r="E82" s="189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189" t="s">
        <v>47</v>
      </c>
      <c r="B94" s="189"/>
      <c r="C94" s="189"/>
      <c r="D94" s="189"/>
      <c r="E94" s="189"/>
    </row>
    <row r="96" spans="1:5" x14ac:dyDescent="0.25">
      <c r="A96" s="189" t="s">
        <v>48</v>
      </c>
      <c r="B96" s="189"/>
      <c r="C96" s="189"/>
      <c r="D96" s="189"/>
      <c r="E96" s="189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190" t="s">
        <v>34</v>
      </c>
      <c r="B105" s="198"/>
      <c r="C105" s="191"/>
      <c r="D105" s="10">
        <f>SUM(D99:D104)</f>
        <v>25.626082196077938</v>
      </c>
      <c r="E105" s="22"/>
    </row>
    <row r="108" spans="1:5" x14ac:dyDescent="0.25">
      <c r="A108" s="189" t="s">
        <v>55</v>
      </c>
      <c r="B108" s="189"/>
      <c r="C108" s="189"/>
      <c r="D108" s="189"/>
      <c r="E108" s="189"/>
    </row>
    <row r="109" spans="1:5" x14ac:dyDescent="0.25">
      <c r="A109" s="2"/>
    </row>
    <row r="110" spans="1:5" x14ac:dyDescent="0.25">
      <c r="A110" s="32" t="s">
        <v>56</v>
      </c>
      <c r="B110" s="190" t="s">
        <v>57</v>
      </c>
      <c r="C110" s="191"/>
      <c r="D110" s="32" t="s">
        <v>3</v>
      </c>
      <c r="E110" s="32" t="s">
        <v>129</v>
      </c>
    </row>
    <row r="111" spans="1:5" x14ac:dyDescent="0.25">
      <c r="A111" s="5" t="s">
        <v>4</v>
      </c>
      <c r="B111" s="199" t="s">
        <v>58</v>
      </c>
      <c r="C111" s="200"/>
      <c r="D111" s="6"/>
      <c r="E111" s="22"/>
    </row>
    <row r="112" spans="1:5" x14ac:dyDescent="0.25">
      <c r="A112" s="190" t="s">
        <v>15</v>
      </c>
      <c r="B112" s="198"/>
      <c r="C112" s="191"/>
      <c r="D112" s="6">
        <f>D111</f>
        <v>0</v>
      </c>
      <c r="E112" s="22"/>
    </row>
    <row r="115" spans="1:5" x14ac:dyDescent="0.25">
      <c r="A115" s="189" t="s">
        <v>59</v>
      </c>
      <c r="B115" s="189"/>
      <c r="C115" s="189"/>
      <c r="D115" s="189"/>
      <c r="E115" s="189"/>
    </row>
    <row r="116" spans="1:5" x14ac:dyDescent="0.25">
      <c r="A116" s="2"/>
    </row>
    <row r="117" spans="1:5" x14ac:dyDescent="0.25">
      <c r="A117" s="32">
        <v>4</v>
      </c>
      <c r="B117" s="136" t="s">
        <v>60</v>
      </c>
      <c r="C117" s="137"/>
      <c r="D117" s="32" t="s">
        <v>3</v>
      </c>
      <c r="E117" s="32" t="s">
        <v>90</v>
      </c>
    </row>
    <row r="118" spans="1:5" x14ac:dyDescent="0.25">
      <c r="A118" s="5" t="s">
        <v>49</v>
      </c>
      <c r="B118" s="140" t="s">
        <v>50</v>
      </c>
      <c r="C118" s="141"/>
      <c r="D118" s="6">
        <f>D105</f>
        <v>25.626082196077938</v>
      </c>
      <c r="E118" s="22"/>
    </row>
    <row r="119" spans="1:5" x14ac:dyDescent="0.25">
      <c r="A119" s="5" t="s">
        <v>56</v>
      </c>
      <c r="B119" s="140" t="s">
        <v>57</v>
      </c>
      <c r="C119" s="141"/>
      <c r="D119" s="6">
        <f>D112</f>
        <v>0</v>
      </c>
      <c r="E119" s="22"/>
    </row>
    <row r="120" spans="1:5" x14ac:dyDescent="0.25">
      <c r="A120" s="190" t="s">
        <v>15</v>
      </c>
      <c r="B120" s="198"/>
      <c r="C120" s="191"/>
      <c r="D120" s="10">
        <f>SUM(D118:D119)</f>
        <v>25.626082196077938</v>
      </c>
      <c r="E120" s="22"/>
    </row>
    <row r="123" spans="1:5" x14ac:dyDescent="0.25">
      <c r="A123" s="189" t="s">
        <v>61</v>
      </c>
      <c r="B123" s="189"/>
      <c r="C123" s="189"/>
      <c r="D123" s="189"/>
      <c r="E123" s="189"/>
    </row>
    <row r="125" spans="1:5" x14ac:dyDescent="0.25">
      <c r="A125" s="32">
        <v>5</v>
      </c>
      <c r="B125" s="136" t="s">
        <v>62</v>
      </c>
      <c r="C125" s="137"/>
      <c r="D125" s="32" t="s">
        <v>3</v>
      </c>
      <c r="E125" s="32" t="s">
        <v>90</v>
      </c>
    </row>
    <row r="126" spans="1:5" x14ac:dyDescent="0.25">
      <c r="A126" s="5" t="s">
        <v>4</v>
      </c>
      <c r="B126" s="140" t="s">
        <v>63</v>
      </c>
      <c r="C126" s="141"/>
      <c r="D126" s="6">
        <f>SUMIFS(Uniformes!G:G,Uniformes!H:H,'Jardineiro - Diária'!$C$18)</f>
        <v>48.643333333333331</v>
      </c>
      <c r="E126" s="45" t="s">
        <v>189</v>
      </c>
    </row>
    <row r="127" spans="1:5" x14ac:dyDescent="0.25">
      <c r="A127" s="5" t="s">
        <v>6</v>
      </c>
      <c r="B127" s="140" t="s">
        <v>64</v>
      </c>
      <c r="C127" s="141"/>
      <c r="D127" s="6">
        <f>SUMIFS(Materiais!H:H,Materiais!I:I,'Jardineiro - Diária'!C18)</f>
        <v>144.60249999999999</v>
      </c>
      <c r="E127" s="45" t="s">
        <v>189</v>
      </c>
    </row>
    <row r="128" spans="1:5" x14ac:dyDescent="0.25">
      <c r="A128" s="5" t="s">
        <v>8</v>
      </c>
      <c r="B128" s="140" t="s">
        <v>65</v>
      </c>
      <c r="C128" s="141"/>
      <c r="D128" s="6">
        <f>IFERROR(SUMIFS(Equipamentos!J:J,Equipamentos!K:K,'Jardineiro - Diária'!$C$18)/SUM(Resumo!H10:H12),0)</f>
        <v>16.429133333333333</v>
      </c>
      <c r="E128" s="45" t="s">
        <v>193</v>
      </c>
    </row>
    <row r="129" spans="1:5" x14ac:dyDescent="0.25">
      <c r="A129" s="5" t="s">
        <v>10</v>
      </c>
      <c r="B129" s="140" t="s">
        <v>155</v>
      </c>
      <c r="C129" s="141"/>
      <c r="D129" s="6">
        <f>SUMIFS(EPIs!G:G,EPIs!H:H,'Jardineiro - Diária'!$C$18)</f>
        <v>17.299166666666668</v>
      </c>
      <c r="E129" s="45" t="s">
        <v>189</v>
      </c>
    </row>
    <row r="130" spans="1:5" x14ac:dyDescent="0.25">
      <c r="A130" s="190" t="s">
        <v>34</v>
      </c>
      <c r="B130" s="198"/>
      <c r="C130" s="191"/>
      <c r="D130" s="10">
        <f>SUM(D126:D129)</f>
        <v>226.97413333333336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176.07066778410945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369.7484023466298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414.56639050985768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73.949680469325969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340.6167100405317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Real",$G$4)))</f>
        <v>0</v>
      </c>
      <c r="D144" s="6">
        <f>(($D$32+$D$79+$D$91+$D$120+$D$130+$D$136+$D$137)/(1-$C$138))*C144</f>
        <v>0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960.38546064059688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2"/>
      <c r="B150" s="136" t="s">
        <v>74</v>
      </c>
      <c r="C150" s="137"/>
      <c r="D150" s="32" t="s">
        <v>3</v>
      </c>
      <c r="E150" s="32" t="s">
        <v>90</v>
      </c>
    </row>
    <row r="151" spans="1:5" x14ac:dyDescent="0.25">
      <c r="A151" s="5" t="s">
        <v>4</v>
      </c>
      <c r="B151" s="140" t="s">
        <v>1</v>
      </c>
      <c r="C151" s="141"/>
      <c r="D151" s="6">
        <f>D32</f>
        <v>1502.31</v>
      </c>
      <c r="E151" s="22"/>
    </row>
    <row r="152" spans="1:5" x14ac:dyDescent="0.25">
      <c r="A152" s="5" t="s">
        <v>6</v>
      </c>
      <c r="B152" s="140" t="s">
        <v>16</v>
      </c>
      <c r="C152" s="141"/>
      <c r="D152" s="6">
        <f>D79</f>
        <v>1637.872715</v>
      </c>
      <c r="E152" s="22"/>
    </row>
    <row r="153" spans="1:5" x14ac:dyDescent="0.25">
      <c r="A153" s="5" t="s">
        <v>8</v>
      </c>
      <c r="B153" s="140" t="s">
        <v>41</v>
      </c>
      <c r="C153" s="141"/>
      <c r="D153" s="6">
        <f>D91</f>
        <v>128.63042515277778</v>
      </c>
      <c r="E153" s="22"/>
    </row>
    <row r="154" spans="1:5" x14ac:dyDescent="0.25">
      <c r="A154" s="5" t="s">
        <v>10</v>
      </c>
      <c r="B154" s="140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140" t="s">
        <v>61</v>
      </c>
      <c r="C155" s="41"/>
      <c r="D155" s="6">
        <f>D130</f>
        <v>226.97413333333336</v>
      </c>
      <c r="E155" s="22"/>
    </row>
    <row r="156" spans="1:5" ht="15.75" customHeight="1" x14ac:dyDescent="0.25">
      <c r="A156" s="190" t="s">
        <v>75</v>
      </c>
      <c r="B156" s="198"/>
      <c r="C156" s="191"/>
      <c r="D156" s="10">
        <f>SUM(D151:D155)</f>
        <v>3521.4133556821885</v>
      </c>
      <c r="E156" s="22"/>
    </row>
    <row r="157" spans="1:5" x14ac:dyDescent="0.25">
      <c r="A157" s="23" t="s">
        <v>29</v>
      </c>
      <c r="B157" s="140" t="s">
        <v>76</v>
      </c>
      <c r="C157" s="41"/>
      <c r="D157" s="6">
        <f>D145</f>
        <v>960.38546064059688</v>
      </c>
      <c r="E157" s="22"/>
    </row>
    <row r="158" spans="1:5" ht="15.75" customHeight="1" x14ac:dyDescent="0.25">
      <c r="A158" s="190" t="s">
        <v>77</v>
      </c>
      <c r="B158" s="198"/>
      <c r="C158" s="191"/>
      <c r="D158" s="10">
        <f>D156+D157</f>
        <v>4481.7988163227856</v>
      </c>
      <c r="E158" s="22"/>
    </row>
    <row r="159" spans="1:5" ht="15.75" customHeight="1" x14ac:dyDescent="0.25">
      <c r="A159" s="190" t="s">
        <v>274</v>
      </c>
      <c r="B159" s="198"/>
      <c r="C159" s="191"/>
      <c r="D159" s="10">
        <f>D158/22</f>
        <v>203.71812801467206</v>
      </c>
      <c r="E159" s="22" t="s">
        <v>275</v>
      </c>
    </row>
    <row r="160" spans="1:5" ht="15.75" customHeight="1" x14ac:dyDescent="0.25">
      <c r="A160" s="190" t="s">
        <v>84</v>
      </c>
      <c r="B160" s="198"/>
      <c r="C160" s="191"/>
      <c r="D160" s="10">
        <f>D159*24</f>
        <v>4889.2350723521295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</mergeCells>
  <dataValidations disablePrompts="1"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A4" zoomScaleNormal="100" workbookViewId="0">
      <selection activeCell="D127" sqref="D127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58" t="s">
        <v>109</v>
      </c>
      <c r="C5" s="195"/>
      <c r="D5" s="196"/>
      <c r="H5" s="15"/>
    </row>
    <row r="6" spans="1:9" x14ac:dyDescent="0.25">
      <c r="A6" s="5" t="s">
        <v>6</v>
      </c>
      <c r="B6" s="58" t="s">
        <v>110</v>
      </c>
      <c r="C6" s="196"/>
      <c r="D6" s="196"/>
      <c r="H6" s="15"/>
    </row>
    <row r="7" spans="1:9" ht="25.5" x14ac:dyDescent="0.25">
      <c r="A7" s="5" t="s">
        <v>8</v>
      </c>
      <c r="B7" s="58" t="s">
        <v>111</v>
      </c>
      <c r="C7" s="196"/>
      <c r="D7" s="196"/>
      <c r="H7" s="15"/>
    </row>
    <row r="8" spans="1:9" x14ac:dyDescent="0.25">
      <c r="A8" s="5" t="s">
        <v>10</v>
      </c>
      <c r="B8" s="58" t="s">
        <v>112</v>
      </c>
      <c r="C8" s="196"/>
      <c r="D8" s="196"/>
      <c r="H8" s="15"/>
    </row>
    <row r="9" spans="1:9" x14ac:dyDescent="0.25">
      <c r="A9" s="197"/>
      <c r="B9" s="197"/>
      <c r="C9" s="197"/>
      <c r="D9" s="197"/>
      <c r="E9" s="60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203" t="s">
        <v>79</v>
      </c>
      <c r="B11" s="203"/>
      <c r="C11" s="33" t="s">
        <v>80</v>
      </c>
      <c r="D11" s="87" t="s">
        <v>81</v>
      </c>
      <c r="E11" s="87" t="s">
        <v>188</v>
      </c>
    </row>
    <row r="12" spans="1:9" ht="15.75" customHeight="1" x14ac:dyDescent="0.25">
      <c r="A12" s="204" t="s">
        <v>104</v>
      </c>
      <c r="B12" s="204"/>
      <c r="C12" s="201" t="s">
        <v>82</v>
      </c>
      <c r="D12" s="201"/>
      <c r="E12" s="201"/>
    </row>
    <row r="13" spans="1:9" x14ac:dyDescent="0.25">
      <c r="A13" s="205"/>
      <c r="B13" s="205"/>
      <c r="C13" s="202"/>
      <c r="D13" s="202"/>
      <c r="E13" s="202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193" t="s">
        <v>104</v>
      </c>
      <c r="D15" s="193"/>
      <c r="E15" s="193"/>
      <c r="F15" s="37"/>
    </row>
    <row r="16" spans="1:9" x14ac:dyDescent="0.25">
      <c r="A16" s="39">
        <v>2</v>
      </c>
      <c r="B16" s="38" t="s">
        <v>114</v>
      </c>
      <c r="C16" s="193"/>
      <c r="D16" s="193"/>
      <c r="E16" s="193"/>
      <c r="F16" s="37"/>
    </row>
    <row r="17" spans="1:6" x14ac:dyDescent="0.25">
      <c r="A17" s="39">
        <v>3</v>
      </c>
      <c r="B17" s="38" t="s">
        <v>115</v>
      </c>
      <c r="C17" s="193"/>
      <c r="D17" s="193"/>
      <c r="E17" s="193"/>
      <c r="F17" s="37"/>
    </row>
    <row r="18" spans="1:6" x14ac:dyDescent="0.25">
      <c r="A18" s="39">
        <v>4</v>
      </c>
      <c r="B18" s="38" t="s">
        <v>116</v>
      </c>
      <c r="C18" s="193" t="s">
        <v>159</v>
      </c>
      <c r="D18" s="193"/>
      <c r="E18" s="193"/>
      <c r="F18" s="37"/>
    </row>
    <row r="19" spans="1:6" x14ac:dyDescent="0.25">
      <c r="A19" s="39">
        <v>5</v>
      </c>
      <c r="B19" s="38" t="s">
        <v>117</v>
      </c>
      <c r="C19" s="193"/>
      <c r="D19" s="193"/>
      <c r="E19" s="193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5" t="s">
        <v>14</v>
      </c>
      <c r="B31" s="58" t="s">
        <v>192</v>
      </c>
      <c r="C31" s="13"/>
      <c r="D31" s="6">
        <f>1100*C31</f>
        <v>0</v>
      </c>
      <c r="E31" s="22" t="s">
        <v>140</v>
      </c>
    </row>
    <row r="32" spans="1:6" x14ac:dyDescent="0.25">
      <c r="A32" s="190" t="s">
        <v>15</v>
      </c>
      <c r="B32" s="191"/>
      <c r="C32" s="10"/>
      <c r="D32" s="10">
        <f>SUM(D25:D31)</f>
        <v>1412.2800000000002</v>
      </c>
      <c r="E32" s="10"/>
    </row>
    <row r="35" spans="1:5" x14ac:dyDescent="0.25">
      <c r="A35" s="189" t="s">
        <v>16</v>
      </c>
      <c r="B35" s="189"/>
      <c r="C35" s="189"/>
      <c r="D35" s="189"/>
      <c r="E35" s="189"/>
    </row>
    <row r="36" spans="1:5" x14ac:dyDescent="0.25">
      <c r="A36" s="2"/>
    </row>
    <row r="37" spans="1:5" x14ac:dyDescent="0.25">
      <c r="A37" s="189" t="s">
        <v>17</v>
      </c>
      <c r="B37" s="189"/>
      <c r="C37" s="189"/>
      <c r="D37" s="189"/>
      <c r="E37" s="189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117.69000000000001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117.69000000000001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39.230000000000004</v>
      </c>
      <c r="E42" s="66" t="s">
        <v>143</v>
      </c>
    </row>
    <row r="43" spans="1:5" x14ac:dyDescent="0.25">
      <c r="A43" s="190" t="s">
        <v>15</v>
      </c>
      <c r="B43" s="191"/>
      <c r="C43" s="10"/>
      <c r="D43" s="10">
        <f>SUM(D40:D42)</f>
        <v>274.61</v>
      </c>
      <c r="E43" s="22"/>
    </row>
    <row r="44" spans="1:5" x14ac:dyDescent="0.25">
      <c r="D44" s="62"/>
    </row>
    <row r="46" spans="1:5" x14ac:dyDescent="0.25">
      <c r="A46" s="189" t="s">
        <v>21</v>
      </c>
      <c r="B46" s="189"/>
      <c r="C46" s="189"/>
      <c r="D46" s="189"/>
      <c r="E46" s="189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337.3780000000001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42.172250000000012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101.21340000000002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25.303350000000005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16.868900000000004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10.121340000000002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3.3737800000000009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134.95120000000003</v>
      </c>
      <c r="E56" s="7" t="s">
        <v>149</v>
      </c>
    </row>
    <row r="57" spans="1:5" x14ac:dyDescent="0.25">
      <c r="A57" s="190" t="s">
        <v>34</v>
      </c>
      <c r="B57" s="191"/>
      <c r="C57" s="43">
        <f>SUM(C49:C56)</f>
        <v>0.39800000000000008</v>
      </c>
      <c r="D57" s="10">
        <f>SUM(D49:D56)</f>
        <v>671.38222000000019</v>
      </c>
      <c r="E57" s="22"/>
    </row>
    <row r="60" spans="1:5" x14ac:dyDescent="0.25">
      <c r="A60" s="189" t="s">
        <v>35</v>
      </c>
      <c r="B60" s="189"/>
      <c r="C60" s="189"/>
      <c r="D60" s="189"/>
      <c r="E60" s="189"/>
    </row>
    <row r="62" spans="1:5" x14ac:dyDescent="0.25">
      <c r="A62" s="32" t="s">
        <v>36</v>
      </c>
      <c r="B62" s="190" t="s">
        <v>37</v>
      </c>
      <c r="C62" s="191"/>
      <c r="D62" s="32" t="s">
        <v>3</v>
      </c>
      <c r="E62" s="32" t="s">
        <v>129</v>
      </c>
    </row>
    <row r="63" spans="1:5" ht="64.5" x14ac:dyDescent="0.25">
      <c r="A63" s="5" t="s">
        <v>4</v>
      </c>
      <c r="B63" s="199" t="s">
        <v>120</v>
      </c>
      <c r="C63" s="200"/>
      <c r="D63" s="6">
        <f>IF(VLOOKUP(B63,Beneficios!$A$1:$F$8,1,FALSE)='Aux. Jardim'!B63,VLOOKUP(B63,Beneficios!$A$1:$F$8,6,FALSE))-$D$25*Beneficios!$E$2</f>
        <v>131.62099999999998</v>
      </c>
      <c r="E63" s="45" t="s">
        <v>139</v>
      </c>
    </row>
    <row r="64" spans="1:5" x14ac:dyDescent="0.25">
      <c r="A64" s="5" t="s">
        <v>6</v>
      </c>
      <c r="B64" s="199" t="s">
        <v>38</v>
      </c>
      <c r="C64" s="200">
        <f>22*16-(22*16)*20%</f>
        <v>281.60000000000002</v>
      </c>
      <c r="D64" s="6">
        <f>IF(VLOOKUP(B64,Beneficios!$A$1:$F$8,1,FALSE)='Aux. Jardim'!B64,VLOOKUP(B64,Beneficios!$A$1:$F$8,6,FALSE))</f>
        <v>326.12800000000004</v>
      </c>
      <c r="E64" s="22" t="s">
        <v>218</v>
      </c>
    </row>
    <row r="65" spans="1:5" x14ac:dyDescent="0.25">
      <c r="A65" s="5" t="s">
        <v>8</v>
      </c>
      <c r="B65" s="199" t="s">
        <v>106</v>
      </c>
      <c r="C65" s="200">
        <f>120</f>
        <v>120</v>
      </c>
      <c r="D65" s="6">
        <f>IF(VLOOKUP(B65,Beneficios!$A$1:$F$8,1,FALSE)='Aux. Jardim'!B65,VLOOKUP(B65,Beneficios!$A$1:$F$8,6,FALSE))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199" t="s">
        <v>214</v>
      </c>
      <c r="C66" s="200"/>
      <c r="D66" s="6">
        <v>49</v>
      </c>
      <c r="E66" s="22" t="s">
        <v>140</v>
      </c>
    </row>
    <row r="67" spans="1:5" x14ac:dyDescent="0.25">
      <c r="A67" s="5" t="s">
        <v>12</v>
      </c>
      <c r="B67" s="199" t="s">
        <v>192</v>
      </c>
      <c r="C67" s="200"/>
      <c r="D67" s="6"/>
      <c r="E67" s="22" t="s">
        <v>140</v>
      </c>
    </row>
    <row r="68" spans="1:5" x14ac:dyDescent="0.25">
      <c r="A68" s="5" t="s">
        <v>29</v>
      </c>
      <c r="B68" s="199" t="s">
        <v>192</v>
      </c>
      <c r="C68" s="200"/>
      <c r="D68" s="6"/>
      <c r="E68" s="22" t="s">
        <v>140</v>
      </c>
    </row>
    <row r="69" spans="1:5" x14ac:dyDescent="0.25">
      <c r="A69" s="5" t="s">
        <v>14</v>
      </c>
      <c r="B69" s="199" t="s">
        <v>192</v>
      </c>
      <c r="C69" s="200"/>
      <c r="D69" s="6"/>
      <c r="E69" s="22" t="s">
        <v>140</v>
      </c>
    </row>
    <row r="70" spans="1:5" x14ac:dyDescent="0.25">
      <c r="A70" s="190" t="s">
        <v>15</v>
      </c>
      <c r="B70" s="198"/>
      <c r="C70" s="191"/>
      <c r="D70" s="10">
        <f>SUM(D63:D69)</f>
        <v>637.54899999999998</v>
      </c>
      <c r="E70" s="22"/>
    </row>
    <row r="73" spans="1:5" x14ac:dyDescent="0.25">
      <c r="A73" s="189" t="s">
        <v>39</v>
      </c>
      <c r="B73" s="189"/>
      <c r="C73" s="189"/>
      <c r="D73" s="189"/>
      <c r="E73" s="189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274.61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671.38222000000019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637.54899999999998</v>
      </c>
      <c r="E78" s="22"/>
    </row>
    <row r="79" spans="1:5" x14ac:dyDescent="0.25">
      <c r="A79" s="190" t="s">
        <v>15</v>
      </c>
      <c r="B79" s="198"/>
      <c r="C79" s="191"/>
      <c r="D79" s="10">
        <f>SUM(D76:D78)</f>
        <v>1583.5412200000001</v>
      </c>
      <c r="E79" s="22"/>
    </row>
    <row r="80" spans="1:5" x14ac:dyDescent="0.25">
      <c r="A80" s="3"/>
    </row>
    <row r="82" spans="1:5" x14ac:dyDescent="0.25">
      <c r="A82" s="189" t="s">
        <v>41</v>
      </c>
      <c r="B82" s="189"/>
      <c r="C82" s="189"/>
      <c r="D82" s="189"/>
      <c r="E82" s="189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7.0287083333333342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0.56229666666666678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67.475600000000014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32.800638888888898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13.054654277777784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120.92189816666669</v>
      </c>
      <c r="E91" s="45"/>
    </row>
    <row r="94" spans="1:5" x14ac:dyDescent="0.25">
      <c r="A94" s="189" t="s">
        <v>47</v>
      </c>
      <c r="B94" s="189"/>
      <c r="C94" s="189"/>
      <c r="D94" s="189"/>
      <c r="E94" s="189"/>
    </row>
    <row r="96" spans="1:5" x14ac:dyDescent="0.25">
      <c r="A96" s="189" t="s">
        <v>48</v>
      </c>
      <c r="B96" s="189"/>
      <c r="C96" s="189"/>
      <c r="D96" s="189"/>
      <c r="E96" s="189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85">
        <f>IF($C$41&gt;0,0,1/12)</f>
        <v>0</v>
      </c>
      <c r="D99" s="6">
        <f t="shared" ref="D99:D104" si="2">($D$32+$D$79+$D$91)*C99</f>
        <v>0</v>
      </c>
      <c r="E99" s="66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12.940544274232547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0.6129594799061111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1.0887317777046623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2.8598237494499519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6.9318596690161094</v>
      </c>
      <c r="E104" s="45"/>
    </row>
    <row r="105" spans="1:5" x14ac:dyDescent="0.25">
      <c r="A105" s="190" t="s">
        <v>34</v>
      </c>
      <c r="B105" s="198"/>
      <c r="C105" s="191"/>
      <c r="D105" s="10">
        <f>SUM(D99:D104)</f>
        <v>24.433918950309383</v>
      </c>
      <c r="E105" s="22"/>
    </row>
    <row r="108" spans="1:5" x14ac:dyDescent="0.25">
      <c r="A108" s="208" t="s">
        <v>55</v>
      </c>
      <c r="B108" s="208"/>
      <c r="C108" s="208"/>
      <c r="D108" s="208"/>
      <c r="E108" s="208"/>
    </row>
    <row r="109" spans="1:5" x14ac:dyDescent="0.25">
      <c r="A109" s="2"/>
    </row>
    <row r="110" spans="1:5" x14ac:dyDescent="0.25">
      <c r="A110" s="32" t="s">
        <v>56</v>
      </c>
      <c r="B110" s="190" t="s">
        <v>57</v>
      </c>
      <c r="C110" s="191"/>
      <c r="D110" s="32" t="s">
        <v>3</v>
      </c>
      <c r="E110" s="32" t="s">
        <v>129</v>
      </c>
    </row>
    <row r="111" spans="1:5" x14ac:dyDescent="0.25">
      <c r="A111" s="5" t="s">
        <v>4</v>
      </c>
      <c r="B111" s="199" t="s">
        <v>58</v>
      </c>
      <c r="C111" s="200"/>
      <c r="D111" s="6"/>
      <c r="E111" s="22"/>
    </row>
    <row r="112" spans="1:5" x14ac:dyDescent="0.25">
      <c r="A112" s="190" t="s">
        <v>15</v>
      </c>
      <c r="B112" s="198"/>
      <c r="C112" s="191"/>
      <c r="D112" s="6">
        <f>D111</f>
        <v>0</v>
      </c>
      <c r="E112" s="22"/>
    </row>
    <row r="115" spans="1:5" x14ac:dyDescent="0.25">
      <c r="A115" s="189" t="s">
        <v>59</v>
      </c>
      <c r="B115" s="189"/>
      <c r="C115" s="189"/>
      <c r="D115" s="189"/>
      <c r="E115" s="189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24.433918950309383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190" t="s">
        <v>15</v>
      </c>
      <c r="B120" s="198"/>
      <c r="C120" s="191"/>
      <c r="D120" s="10">
        <f>SUM(D118:D119)</f>
        <v>24.433918950309383</v>
      </c>
      <c r="E120" s="22"/>
    </row>
    <row r="123" spans="1:5" x14ac:dyDescent="0.25">
      <c r="A123" s="189" t="s">
        <v>61</v>
      </c>
      <c r="B123" s="189"/>
      <c r="C123" s="189"/>
      <c r="D123" s="189"/>
      <c r="E123" s="189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SUMIFS(Uniformes!G:G,Uniformes!H:H,'Aux. Jardim'!$C$18)</f>
        <v>0</v>
      </c>
      <c r="E126" s="45" t="s">
        <v>189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SUMIFS(Materiais!H:H,Materiais!I:I,'Aux. Jardim'!C18)</f>
        <v>0</v>
      </c>
      <c r="E127" s="45" t="s">
        <v>189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IFERROR(SUMIFS(Equipamentos!J:J,Equipamentos!K:K,'Aux. Jardim'!$C$18)/SUM(Resumo!H10:H12),0)</f>
        <v>0</v>
      </c>
      <c r="E128" s="45" t="s">
        <v>193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SUMIFS(EPIs!G:G,EPIs!H:H,'Aux. Jardim'!$C$18)</f>
        <v>0</v>
      </c>
      <c r="E129" s="22"/>
    </row>
    <row r="130" spans="1:5" x14ac:dyDescent="0.25">
      <c r="A130" s="190" t="s">
        <v>34</v>
      </c>
      <c r="B130" s="198"/>
      <c r="C130" s="191"/>
      <c r="D130" s="10">
        <f>SUM(D126:D129)</f>
        <v>0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2">
        <v>0.05</v>
      </c>
      <c r="D136" s="6">
        <f>(D32+D79+D91+D120+D130)*C136</f>
        <v>157.05885185584884</v>
      </c>
      <c r="E136" s="45"/>
    </row>
    <row r="137" spans="1:5" x14ac:dyDescent="0.25">
      <c r="A137" s="5" t="s">
        <v>6</v>
      </c>
      <c r="B137" s="7" t="s">
        <v>69</v>
      </c>
      <c r="C137" s="12">
        <v>0.1</v>
      </c>
      <c r="D137" s="6">
        <f>(D32+D79+D91+D120+D130+D136)*C137</f>
        <v>329.82358889728255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369.80220573331678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65.964717779456507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303.83748795386026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Real",$G$4)))</f>
        <v>0</v>
      </c>
      <c r="D144" s="6">
        <f>(($D$32+$D$79+$D$91+$D$120+$D$130+$D$136+$D$137)/(1-$C$138))*C144</f>
        <v>0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856.68464648644817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1412.2800000000002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1583.5412200000001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120.92189816666669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24.433918950309383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0</v>
      </c>
      <c r="E155" s="22"/>
    </row>
    <row r="156" spans="1:5" ht="15.75" customHeight="1" x14ac:dyDescent="0.25">
      <c r="A156" s="190" t="s">
        <v>75</v>
      </c>
      <c r="B156" s="198"/>
      <c r="C156" s="191"/>
      <c r="D156" s="10">
        <f>SUM(D151:D155)</f>
        <v>3141.1770371169764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856.68464648644817</v>
      </c>
      <c r="E157" s="22"/>
    </row>
    <row r="158" spans="1:5" ht="15.75" customHeight="1" x14ac:dyDescent="0.25">
      <c r="A158" s="190" t="s">
        <v>77</v>
      </c>
      <c r="B158" s="198"/>
      <c r="C158" s="191"/>
      <c r="D158" s="10">
        <f>D156+D157</f>
        <v>3997.8616836034244</v>
      </c>
      <c r="E158" s="22"/>
    </row>
    <row r="159" spans="1:5" ht="15.75" customHeight="1" x14ac:dyDescent="0.25">
      <c r="A159" s="190" t="s">
        <v>83</v>
      </c>
      <c r="B159" s="198"/>
      <c r="C159" s="191"/>
      <c r="D159" s="10">
        <f>D158*$E$12</f>
        <v>0</v>
      </c>
      <c r="E159" s="22"/>
    </row>
    <row r="160" spans="1:5" ht="15.75" customHeight="1" x14ac:dyDescent="0.25">
      <c r="A160" s="190" t="s">
        <v>84</v>
      </c>
      <c r="B160" s="198"/>
      <c r="C160" s="191"/>
      <c r="D160" s="10">
        <f>D159*12</f>
        <v>0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1" max="6" man="1"/>
    <brk id="120" max="6" man="1"/>
    <brk id="14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9</vt:i4>
      </vt:variant>
    </vt:vector>
  </HeadingPairs>
  <TitlesOfParts>
    <vt:vector size="27" baseType="lpstr">
      <vt:lpstr>Informações</vt:lpstr>
      <vt:lpstr>Servente de Limpeza</vt:lpstr>
      <vt:lpstr>Servente de Limpeza - Banheiro</vt:lpstr>
      <vt:lpstr>Servente de Limpeza - Diária</vt:lpstr>
      <vt:lpstr>Líder</vt:lpstr>
      <vt:lpstr>Copeira</vt:lpstr>
      <vt:lpstr>Jardineiro</vt:lpstr>
      <vt:lpstr>Jardineiro - Diária</vt:lpstr>
      <vt:lpstr>Aux. Jardim</vt:lpstr>
      <vt:lpstr>Resumo</vt:lpstr>
      <vt:lpstr>Beneficios</vt:lpstr>
      <vt:lpstr>Uniformes</vt:lpstr>
      <vt:lpstr>Equipamentos</vt:lpstr>
      <vt:lpstr>Utensílios</vt:lpstr>
      <vt:lpstr>Materiais</vt:lpstr>
      <vt:lpstr>EPIs</vt:lpstr>
      <vt:lpstr>Tributos - Real</vt:lpstr>
      <vt:lpstr>Tributos - Simples</vt:lpstr>
      <vt:lpstr>'Aux. Jardim'!Area_de_impressao</vt:lpstr>
      <vt:lpstr>Copeira!Area_de_impressao</vt:lpstr>
      <vt:lpstr>Jardineiro!Area_de_impressao</vt:lpstr>
      <vt:lpstr>'Jardineiro - Diária'!Area_de_impressao</vt:lpstr>
      <vt:lpstr>Líder!Area_de_impressao</vt:lpstr>
      <vt:lpstr>'Servente de Limpeza'!Area_de_impressao</vt:lpstr>
      <vt:lpstr>'Servente de Limpeza - Banheiro'!Area_de_impressao</vt:lpstr>
      <vt:lpstr>'Servente de Limpeza - Diária'!Area_de_impressao</vt:lpstr>
      <vt:lpstr>'Tributos - Real'!Area_de_impressao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SENARMT | Thayla Joana Schenberger</cp:lastModifiedBy>
  <cp:lastPrinted>2022-04-25T21:45:04Z</cp:lastPrinted>
  <dcterms:created xsi:type="dcterms:W3CDTF">2021-06-15T12:28:13Z</dcterms:created>
  <dcterms:modified xsi:type="dcterms:W3CDTF">2022-04-25T21:47:46Z</dcterms:modified>
</cp:coreProperties>
</file>