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Projetos\SENAR\SENAR - parte interna\Cabeamento\Orçamento\"/>
    </mc:Choice>
  </mc:AlternateContent>
  <xr:revisionPtr revIDLastSave="0" documentId="13_ncr:1_{21891167-EB07-4688-98C6-820BD76FC57A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CAPA" sheetId="8" r:id="rId1"/>
    <sheet name="RESUMO" sheetId="1" r:id="rId2"/>
    <sheet name="CURVA ABC" sheetId="14" r:id="rId3"/>
    <sheet name="ORÇAMENTO" sheetId="2" r:id="rId4"/>
    <sheet name="COMPOSIÇÃO" sheetId="9" r:id="rId5"/>
    <sheet name="CRONOGRAMA" sheetId="10" r:id="rId6"/>
    <sheet name="MAPA DE COTAÇÃO" sheetId="12" r:id="rId7"/>
    <sheet name="BDI - SERVIÇO" sheetId="11" r:id="rId8"/>
    <sheet name="BDI - EQUPAMENTOS" sheetId="15" r:id="rId9"/>
  </sheets>
  <definedNames>
    <definedName name="_xlnm.Print_Area" localSheetId="8">'BDI - EQUPAMENTOS'!$A$1:$H$55</definedName>
    <definedName name="_xlnm.Print_Area" localSheetId="7">'BDI - SERVIÇO'!$A$1:$H$31</definedName>
    <definedName name="_xlnm.Print_Area" localSheetId="0">CAPA!$A$1:$K$50</definedName>
    <definedName name="_xlnm.Print_Area" localSheetId="4">COMPOSIÇÃO!$A$1:$H$447</definedName>
    <definedName name="_xlnm.Print_Area" localSheetId="5">CRONOGRAMA!$A$1:$M$35</definedName>
    <definedName name="_xlnm.Print_Area" localSheetId="2">'CURVA ABC'!$A$1:$J$129</definedName>
    <definedName name="_xlnm.Print_Area" localSheetId="6">'MAPA DE COTAÇÃO'!$A$1:$G$260</definedName>
    <definedName name="_xlnm.Print_Area" localSheetId="3">ORÇAMENTO!$A$1:$I$117</definedName>
    <definedName name="_xlnm.Print_Area" localSheetId="1">RESUMO!$A$1:$K$24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4" l="1"/>
  <c r="C35" i="14"/>
  <c r="A35" i="14"/>
  <c r="D29" i="2"/>
  <c r="C29" i="2"/>
  <c r="B35" i="14" s="1"/>
  <c r="G55" i="9"/>
  <c r="H55" i="9" s="1"/>
  <c r="H54" i="9" s="1"/>
  <c r="G29" i="2" s="1"/>
  <c r="D55" i="9"/>
  <c r="C49" i="9"/>
  <c r="C55" i="9"/>
  <c r="H57" i="9"/>
  <c r="H56" i="9"/>
  <c r="G258" i="12" l="1"/>
  <c r="C9" i="1" l="1"/>
  <c r="F54" i="2"/>
  <c r="E103" i="2"/>
  <c r="D61" i="14" s="1"/>
  <c r="E61" i="14"/>
  <c r="A61" i="14"/>
  <c r="E65" i="14"/>
  <c r="D65" i="14"/>
  <c r="C65" i="14"/>
  <c r="B65" i="14"/>
  <c r="A65" i="14"/>
  <c r="A84" i="14"/>
  <c r="E84" i="14"/>
  <c r="A103" i="14"/>
  <c r="E103" i="14"/>
  <c r="A73" i="14"/>
  <c r="B73" i="14"/>
  <c r="C73" i="14"/>
  <c r="D73" i="14"/>
  <c r="E73" i="14"/>
  <c r="E50" i="14"/>
  <c r="D50" i="14"/>
  <c r="C50" i="14"/>
  <c r="B50" i="14"/>
  <c r="A50" i="14"/>
  <c r="E83" i="14"/>
  <c r="E58" i="2"/>
  <c r="D83" i="14" s="1"/>
  <c r="A83" i="14"/>
  <c r="E86" i="14"/>
  <c r="A86" i="14"/>
  <c r="D101" i="2"/>
  <c r="C86" i="14" s="1"/>
  <c r="C101" i="2"/>
  <c r="B86" i="14" s="1"/>
  <c r="H394" i="9"/>
  <c r="H396" i="9"/>
  <c r="H395" i="9"/>
  <c r="H393" i="9"/>
  <c r="H392" i="9"/>
  <c r="H386" i="9"/>
  <c r="D103" i="2"/>
  <c r="C61" i="14" s="1"/>
  <c r="C103" i="2"/>
  <c r="B61" i="14" s="1"/>
  <c r="D408" i="9"/>
  <c r="C408" i="9"/>
  <c r="H412" i="9"/>
  <c r="H411" i="9"/>
  <c r="H409" i="9"/>
  <c r="E408" i="9"/>
  <c r="H410" i="9"/>
  <c r="F67" i="2"/>
  <c r="H391" i="9" l="1"/>
  <c r="G101" i="2" s="1"/>
  <c r="D65" i="2"/>
  <c r="C103" i="14" s="1"/>
  <c r="C65" i="2"/>
  <c r="B103" i="14" s="1"/>
  <c r="E65" i="2"/>
  <c r="D103" i="14" s="1"/>
  <c r="E64" i="2"/>
  <c r="D84" i="14" s="1"/>
  <c r="C64" i="2"/>
  <c r="B84" i="14" s="1"/>
  <c r="H164" i="9"/>
  <c r="H163" i="9"/>
  <c r="H162" i="9"/>
  <c r="D64" i="2"/>
  <c r="C84" i="14" s="1"/>
  <c r="H158" i="9"/>
  <c r="H157" i="9"/>
  <c r="H156" i="9"/>
  <c r="D58" i="2"/>
  <c r="C83" i="14" s="1"/>
  <c r="C58" i="2"/>
  <c r="B83" i="14" s="1"/>
  <c r="H152" i="9"/>
  <c r="H151" i="9"/>
  <c r="H150" i="9"/>
  <c r="G98" i="12"/>
  <c r="D57" i="2"/>
  <c r="H161" i="9" l="1"/>
  <c r="G65" i="2" s="1"/>
  <c r="H155" i="9"/>
  <c r="G64" i="2" s="1"/>
  <c r="H149" i="9"/>
  <c r="G58" i="2" s="1"/>
  <c r="A68" i="14" l="1"/>
  <c r="B68" i="14"/>
  <c r="C68" i="14"/>
  <c r="D68" i="14"/>
  <c r="E68" i="14"/>
  <c r="A21" i="14"/>
  <c r="E21" i="14"/>
  <c r="A33" i="14"/>
  <c r="E33" i="14"/>
  <c r="A85" i="14"/>
  <c r="E85" i="14"/>
  <c r="A22" i="14"/>
  <c r="E22" i="14"/>
  <c r="A60" i="14"/>
  <c r="E60" i="14"/>
  <c r="A64" i="14"/>
  <c r="E64" i="14"/>
  <c r="A57" i="14"/>
  <c r="E57" i="14"/>
  <c r="A47" i="14"/>
  <c r="E47" i="14"/>
  <c r="A42" i="14"/>
  <c r="E42" i="14"/>
  <c r="A74" i="14"/>
  <c r="E74" i="14"/>
  <c r="A43" i="14"/>
  <c r="E43" i="14"/>
  <c r="A38" i="14"/>
  <c r="E38" i="14"/>
  <c r="A39" i="14"/>
  <c r="E39" i="14"/>
  <c r="A30" i="14"/>
  <c r="E30" i="14"/>
  <c r="A91" i="14"/>
  <c r="B91" i="14"/>
  <c r="C91" i="14"/>
  <c r="D91" i="14"/>
  <c r="E91" i="14"/>
  <c r="A25" i="14"/>
  <c r="D25" i="14"/>
  <c r="E25" i="14"/>
  <c r="A37" i="14"/>
  <c r="E37" i="14"/>
  <c r="A52" i="14"/>
  <c r="E52" i="14"/>
  <c r="A34" i="14"/>
  <c r="E34" i="14"/>
  <c r="A77" i="14"/>
  <c r="E77" i="14"/>
  <c r="A63" i="14"/>
  <c r="E63" i="14"/>
  <c r="A88" i="14"/>
  <c r="E88" i="14"/>
  <c r="A70" i="14"/>
  <c r="E70" i="14"/>
  <c r="A28" i="14"/>
  <c r="B28" i="14"/>
  <c r="C28" i="14"/>
  <c r="D28" i="14"/>
  <c r="E28" i="14"/>
  <c r="A45" i="14"/>
  <c r="E45" i="14"/>
  <c r="A67" i="14"/>
  <c r="E67" i="14"/>
  <c r="A44" i="14"/>
  <c r="E44" i="14"/>
  <c r="A24" i="14"/>
  <c r="E24" i="14"/>
  <c r="A26" i="14"/>
  <c r="E26" i="14"/>
  <c r="A75" i="14"/>
  <c r="E75" i="14"/>
  <c r="A31" i="14"/>
  <c r="E31" i="14"/>
  <c r="A29" i="14"/>
  <c r="E29" i="14"/>
  <c r="A49" i="14"/>
  <c r="B49" i="14"/>
  <c r="C49" i="14"/>
  <c r="D49" i="14"/>
  <c r="E49" i="14"/>
  <c r="A56" i="14"/>
  <c r="B56" i="14"/>
  <c r="C56" i="14"/>
  <c r="D56" i="14"/>
  <c r="E56" i="14"/>
  <c r="A78" i="14"/>
  <c r="B78" i="14"/>
  <c r="C78" i="14"/>
  <c r="D78" i="14"/>
  <c r="E78" i="14"/>
  <c r="A59" i="14"/>
  <c r="B59" i="14"/>
  <c r="C59" i="14"/>
  <c r="D59" i="14"/>
  <c r="E59" i="14"/>
  <c r="A95" i="14"/>
  <c r="B95" i="14"/>
  <c r="C95" i="14"/>
  <c r="D95" i="14"/>
  <c r="E95" i="14"/>
  <c r="A94" i="14"/>
  <c r="B94" i="14"/>
  <c r="C94" i="14"/>
  <c r="D94" i="14"/>
  <c r="E94" i="14"/>
  <c r="A102" i="14"/>
  <c r="B102" i="14"/>
  <c r="C102" i="14"/>
  <c r="D102" i="14"/>
  <c r="E102" i="14"/>
  <c r="A98" i="14"/>
  <c r="B98" i="14"/>
  <c r="C98" i="14"/>
  <c r="D98" i="14"/>
  <c r="E98" i="14"/>
  <c r="A23" i="14"/>
  <c r="B23" i="14"/>
  <c r="C23" i="14"/>
  <c r="D23" i="14"/>
  <c r="E23" i="14"/>
  <c r="A27" i="14"/>
  <c r="E27" i="14"/>
  <c r="A55" i="14"/>
  <c r="E55" i="14"/>
  <c r="A62" i="14"/>
  <c r="E62" i="14"/>
  <c r="A69" i="14"/>
  <c r="E69" i="14"/>
  <c r="A48" i="14"/>
  <c r="B48" i="14"/>
  <c r="C48" i="14"/>
  <c r="D48" i="14"/>
  <c r="E48" i="14"/>
  <c r="A80" i="14"/>
  <c r="B80" i="14"/>
  <c r="C80" i="14"/>
  <c r="D80" i="14"/>
  <c r="E80" i="14"/>
  <c r="A81" i="14"/>
  <c r="B81" i="14"/>
  <c r="C81" i="14"/>
  <c r="D81" i="14"/>
  <c r="E81" i="14"/>
  <c r="A41" i="14"/>
  <c r="E41" i="14"/>
  <c r="A32" i="14"/>
  <c r="E32" i="14"/>
  <c r="A46" i="14"/>
  <c r="E46" i="14"/>
  <c r="A58" i="14"/>
  <c r="E58" i="14"/>
  <c r="A100" i="14"/>
  <c r="E100" i="14"/>
  <c r="A105" i="14"/>
  <c r="E105" i="14"/>
  <c r="A104" i="14"/>
  <c r="E104" i="14"/>
  <c r="A87" i="14"/>
  <c r="E87" i="14"/>
  <c r="A71" i="14"/>
  <c r="E71" i="14"/>
  <c r="A51" i="14"/>
  <c r="E51" i="14"/>
  <c r="A72" i="14"/>
  <c r="A40" i="14"/>
  <c r="E40" i="14"/>
  <c r="A53" i="14"/>
  <c r="A36" i="14"/>
  <c r="E36" i="14"/>
  <c r="A54" i="14"/>
  <c r="A66" i="14"/>
  <c r="E66" i="14"/>
  <c r="A90" i="14"/>
  <c r="E90" i="14"/>
  <c r="A89" i="14"/>
  <c r="E89" i="14"/>
  <c r="A92" i="14"/>
  <c r="E92" i="14"/>
  <c r="A97" i="14"/>
  <c r="E97" i="14"/>
  <c r="A99" i="14"/>
  <c r="E99" i="14"/>
  <c r="A93" i="14"/>
  <c r="E93" i="14"/>
  <c r="A79" i="14"/>
  <c r="E79" i="14"/>
  <c r="A101" i="14"/>
  <c r="E101" i="14"/>
  <c r="A96" i="14"/>
  <c r="E96" i="14"/>
  <c r="A82" i="14"/>
  <c r="E82" i="14"/>
  <c r="D76" i="14"/>
  <c r="A76" i="14"/>
  <c r="G194" i="12" l="1"/>
  <c r="F140" i="12"/>
  <c r="H441" i="9" l="1"/>
  <c r="H440" i="9" s="1"/>
  <c r="H437" i="9"/>
  <c r="H436" i="9" s="1"/>
  <c r="H433" i="9"/>
  <c r="H432" i="9"/>
  <c r="H426" i="9"/>
  <c r="H425" i="9"/>
  <c r="H424" i="9"/>
  <c r="H419" i="9"/>
  <c r="H418" i="9"/>
  <c r="H417" i="9"/>
  <c r="H404" i="9"/>
  <c r="H403" i="9"/>
  <c r="H402" i="9"/>
  <c r="H400" i="9"/>
  <c r="H388" i="9"/>
  <c r="H387" i="9"/>
  <c r="H381" i="9"/>
  <c r="H380" i="9"/>
  <c r="H379" i="9"/>
  <c r="H375" i="9"/>
  <c r="H374" i="9"/>
  <c r="H369" i="9"/>
  <c r="H368" i="9"/>
  <c r="H363" i="9"/>
  <c r="H362" i="9"/>
  <c r="H357" i="9"/>
  <c r="H356" i="9"/>
  <c r="H351" i="9"/>
  <c r="H350" i="9"/>
  <c r="H343" i="9"/>
  <c r="H342" i="9"/>
  <c r="H337" i="9"/>
  <c r="H336" i="9"/>
  <c r="H331" i="9"/>
  <c r="H330" i="9"/>
  <c r="H325" i="9"/>
  <c r="H324" i="9"/>
  <c r="H319" i="9"/>
  <c r="H318" i="9"/>
  <c r="H313" i="9"/>
  <c r="H312" i="9"/>
  <c r="H307" i="9"/>
  <c r="H306" i="9"/>
  <c r="H301" i="9"/>
  <c r="H300" i="9"/>
  <c r="H295" i="9"/>
  <c r="H294" i="9"/>
  <c r="H289" i="9"/>
  <c r="H288" i="9"/>
  <c r="H283" i="9"/>
  <c r="H282" i="9"/>
  <c r="H277" i="9"/>
  <c r="H276" i="9"/>
  <c r="H271" i="9"/>
  <c r="H270" i="9"/>
  <c r="H269" i="9"/>
  <c r="H268" i="9"/>
  <c r="H266" i="9"/>
  <c r="H265" i="9"/>
  <c r="H261" i="9"/>
  <c r="H260" i="9"/>
  <c r="H259" i="9"/>
  <c r="H258" i="9"/>
  <c r="H256" i="9"/>
  <c r="H255" i="9"/>
  <c r="H251" i="9"/>
  <c r="H250" i="9"/>
  <c r="H249" i="9"/>
  <c r="H248" i="9"/>
  <c r="H246" i="9"/>
  <c r="H245" i="9"/>
  <c r="H241" i="9"/>
  <c r="H240" i="9"/>
  <c r="H235" i="9"/>
  <c r="H234" i="9"/>
  <c r="H229" i="9"/>
  <c r="H228" i="9"/>
  <c r="H223" i="9"/>
  <c r="H222" i="9"/>
  <c r="H217" i="9"/>
  <c r="H216" i="9"/>
  <c r="H211" i="9"/>
  <c r="H210" i="9"/>
  <c r="H205" i="9"/>
  <c r="H204" i="9"/>
  <c r="H199" i="9"/>
  <c r="H198" i="9"/>
  <c r="H193" i="9"/>
  <c r="H192" i="9"/>
  <c r="H187" i="9"/>
  <c r="H186" i="9"/>
  <c r="H181" i="9"/>
  <c r="H180" i="9"/>
  <c r="H179" i="9"/>
  <c r="H178" i="9"/>
  <c r="H177" i="9"/>
  <c r="H175" i="9"/>
  <c r="H174" i="9"/>
  <c r="H170" i="9"/>
  <c r="H169" i="9"/>
  <c r="H168" i="9"/>
  <c r="H146" i="9"/>
  <c r="H145" i="9"/>
  <c r="H140" i="9"/>
  <c r="H139" i="9"/>
  <c r="H134" i="9"/>
  <c r="H123" i="9"/>
  <c r="H118" i="9"/>
  <c r="H113" i="9"/>
  <c r="H108" i="9"/>
  <c r="H103" i="9"/>
  <c r="H129" i="9"/>
  <c r="H128" i="9"/>
  <c r="H127" i="9"/>
  <c r="H98" i="9"/>
  <c r="H93" i="9"/>
  <c r="H92" i="9"/>
  <c r="H87" i="9"/>
  <c r="H86" i="9"/>
  <c r="H81" i="9"/>
  <c r="H80" i="9"/>
  <c r="H75" i="9"/>
  <c r="H74" i="9"/>
  <c r="H69" i="9"/>
  <c r="H68" i="9"/>
  <c r="H63" i="9"/>
  <c r="H62" i="9"/>
  <c r="H51" i="9"/>
  <c r="H50" i="9"/>
  <c r="H43" i="9"/>
  <c r="H44" i="9"/>
  <c r="H36" i="9"/>
  <c r="H37" i="9"/>
  <c r="H30" i="9"/>
  <c r="H29" i="9" s="1"/>
  <c r="H21" i="9"/>
  <c r="H22" i="9"/>
  <c r="H23" i="9"/>
  <c r="H24" i="9"/>
  <c r="H25" i="9"/>
  <c r="H26" i="9"/>
  <c r="G254" i="12"/>
  <c r="G250" i="12"/>
  <c r="G246" i="12"/>
  <c r="G242" i="12"/>
  <c r="G238" i="12"/>
  <c r="G408" i="9" s="1"/>
  <c r="H408" i="9" s="1"/>
  <c r="H407" i="9" s="1"/>
  <c r="G103" i="2" s="1"/>
  <c r="G234" i="12"/>
  <c r="G230" i="12"/>
  <c r="G226" i="12"/>
  <c r="G222" i="12"/>
  <c r="G218" i="12"/>
  <c r="G214" i="12"/>
  <c r="G210" i="12"/>
  <c r="G206" i="12"/>
  <c r="G202" i="12"/>
  <c r="G198" i="12"/>
  <c r="G190" i="12"/>
  <c r="G186" i="12"/>
  <c r="G182" i="12"/>
  <c r="G178" i="12"/>
  <c r="G174" i="12"/>
  <c r="G170" i="12"/>
  <c r="G166" i="12"/>
  <c r="G162" i="12"/>
  <c r="G158" i="12"/>
  <c r="G154" i="12"/>
  <c r="G150" i="12"/>
  <c r="G146" i="12"/>
  <c r="G130" i="12"/>
  <c r="G126" i="12"/>
  <c r="G122" i="12"/>
  <c r="G118" i="12"/>
  <c r="G114" i="12"/>
  <c r="G110" i="12"/>
  <c r="G106" i="12"/>
  <c r="G102" i="12"/>
  <c r="G94" i="12"/>
  <c r="G86" i="12"/>
  <c r="G82" i="12"/>
  <c r="G78" i="12"/>
  <c r="G74" i="12"/>
  <c r="G70" i="12"/>
  <c r="G66" i="12"/>
  <c r="G62" i="12"/>
  <c r="G58" i="12"/>
  <c r="G54" i="12"/>
  <c r="G50" i="12"/>
  <c r="G46" i="12"/>
  <c r="G42" i="12"/>
  <c r="G38" i="12"/>
  <c r="G34" i="12"/>
  <c r="G30" i="12"/>
  <c r="G26" i="12"/>
  <c r="G22" i="12"/>
  <c r="H126" i="9" l="1"/>
  <c r="H167" i="9"/>
  <c r="H378" i="9"/>
  <c r="E99" i="2"/>
  <c r="D42" i="14" s="1"/>
  <c r="D99" i="2"/>
  <c r="C42" i="14" s="1"/>
  <c r="C416" i="9"/>
  <c r="D48" i="9" l="1"/>
  <c r="C41" i="2" l="1"/>
  <c r="B75" i="14" s="1"/>
  <c r="E209" i="9"/>
  <c r="D209" i="9"/>
  <c r="C209" i="9"/>
  <c r="E73" i="2"/>
  <c r="D104" i="14" s="1"/>
  <c r="D73" i="2"/>
  <c r="C104" i="14" s="1"/>
  <c r="C73" i="2"/>
  <c r="B104" i="14" s="1"/>
  <c r="G209" i="9"/>
  <c r="H209" i="9" s="1"/>
  <c r="H208" i="9" s="1"/>
  <c r="E72" i="2"/>
  <c r="D105" i="14" s="1"/>
  <c r="D72" i="2"/>
  <c r="C105" i="14" s="1"/>
  <c r="C72" i="2"/>
  <c r="B105" i="14" s="1"/>
  <c r="E203" i="9"/>
  <c r="D203" i="9"/>
  <c r="C203" i="9"/>
  <c r="G203" i="9"/>
  <c r="H203" i="9" s="1"/>
  <c r="G73" i="2" l="1"/>
  <c r="D54" i="2" l="1"/>
  <c r="C27" i="14" s="1"/>
  <c r="D84" i="2" l="1"/>
  <c r="C89" i="14" s="1"/>
  <c r="E54" i="2" l="1"/>
  <c r="D27" i="14" s="1"/>
  <c r="C54" i="2"/>
  <c r="B27" i="14" s="1"/>
  <c r="D92" i="12"/>
  <c r="G90" i="12" s="1"/>
  <c r="E140" i="12"/>
  <c r="F81" i="2"/>
  <c r="E54" i="14" s="1"/>
  <c r="F79" i="2"/>
  <c r="E53" i="14" s="1"/>
  <c r="F77" i="2"/>
  <c r="E72" i="14" s="1"/>
  <c r="E136" i="12" l="1"/>
  <c r="E87" i="2"/>
  <c r="D99" i="14" s="1"/>
  <c r="D87" i="2"/>
  <c r="C99" i="14" s="1"/>
  <c r="C87" i="2"/>
  <c r="B99" i="14" s="1"/>
  <c r="D305" i="9"/>
  <c r="C305" i="9"/>
  <c r="G305" i="9"/>
  <c r="H305" i="9" s="1"/>
  <c r="H304" i="9" s="1"/>
  <c r="G87" i="2" l="1"/>
  <c r="D140" i="12" l="1"/>
  <c r="G138" i="12" s="1"/>
  <c r="F144" i="12"/>
  <c r="F136" i="12"/>
  <c r="E111" i="2" l="1"/>
  <c r="D33" i="14" s="1"/>
  <c r="D111" i="2"/>
  <c r="C33" i="14" s="1"/>
  <c r="C111" i="2"/>
  <c r="B33" i="14" s="1"/>
  <c r="E110" i="2"/>
  <c r="D21" i="14" s="1"/>
  <c r="D110" i="2"/>
  <c r="C21" i="14" s="1"/>
  <c r="C110" i="2"/>
  <c r="B21" i="14" s="1"/>
  <c r="G111" i="2"/>
  <c r="G110" i="2"/>
  <c r="B15" i="10" l="1"/>
  <c r="A15" i="10"/>
  <c r="B14" i="10"/>
  <c r="A14" i="10"/>
  <c r="B13" i="10"/>
  <c r="A13" i="10"/>
  <c r="C23" i="1" l="1"/>
  <c r="A23" i="1"/>
  <c r="C22" i="1"/>
  <c r="A22" i="1"/>
  <c r="C21" i="1"/>
  <c r="A21" i="1"/>
  <c r="E10" i="2"/>
  <c r="H29" i="15"/>
  <c r="H32" i="15" s="1"/>
  <c r="H33" i="15" s="1"/>
  <c r="D21" i="8" s="1"/>
  <c r="F10" i="2" s="1"/>
  <c r="H23" i="15"/>
  <c r="B12" i="15"/>
  <c r="A12" i="15"/>
  <c r="B12" i="11"/>
  <c r="A12" i="11"/>
  <c r="F12" i="15"/>
  <c r="E12" i="15"/>
  <c r="H11" i="15"/>
  <c r="G11" i="15"/>
  <c r="F11" i="15"/>
  <c r="E11" i="15"/>
  <c r="B11" i="15"/>
  <c r="A11" i="15"/>
  <c r="H10" i="15"/>
  <c r="G10" i="15"/>
  <c r="F10" i="15"/>
  <c r="E10" i="15"/>
  <c r="B10" i="15"/>
  <c r="A10" i="15"/>
  <c r="H9" i="15"/>
  <c r="G9" i="15"/>
  <c r="E9" i="15"/>
  <c r="B9" i="15"/>
  <c r="A9" i="15"/>
  <c r="E355" i="9"/>
  <c r="E215" i="9"/>
  <c r="D41" i="9"/>
  <c r="D42" i="9"/>
  <c r="B12" i="12"/>
  <c r="A12" i="12"/>
  <c r="B7" i="10"/>
  <c r="A7" i="10"/>
  <c r="B12" i="9"/>
  <c r="A12" i="9"/>
  <c r="B12" i="2"/>
  <c r="A12" i="2"/>
  <c r="C12" i="14"/>
  <c r="C12" i="1"/>
  <c r="A12" i="1"/>
  <c r="E106" i="2"/>
  <c r="D30" i="14" s="1"/>
  <c r="D106" i="2"/>
  <c r="C30" i="14" s="1"/>
  <c r="C106" i="2"/>
  <c r="B30" i="14" s="1"/>
  <c r="E105" i="2"/>
  <c r="D39" i="14" s="1"/>
  <c r="D105" i="2"/>
  <c r="C39" i="14" s="1"/>
  <c r="C105" i="2"/>
  <c r="B39" i="14" s="1"/>
  <c r="E104" i="2"/>
  <c r="D38" i="14" s="1"/>
  <c r="D104" i="2"/>
  <c r="C38" i="14" s="1"/>
  <c r="C104" i="2"/>
  <c r="B38" i="14" s="1"/>
  <c r="E102" i="2"/>
  <c r="D43" i="14" s="1"/>
  <c r="D102" i="2"/>
  <c r="C43" i="14" s="1"/>
  <c r="C102" i="2"/>
  <c r="B43" i="14" s="1"/>
  <c r="E100" i="2"/>
  <c r="D74" i="14" s="1"/>
  <c r="D100" i="2"/>
  <c r="C74" i="14" s="1"/>
  <c r="C100" i="2"/>
  <c r="B74" i="14" s="1"/>
  <c r="E431" i="9"/>
  <c r="D431" i="9"/>
  <c r="C431" i="9"/>
  <c r="E144" i="12" l="1"/>
  <c r="D144" i="12"/>
  <c r="G142" i="12" s="1"/>
  <c r="D136" i="12"/>
  <c r="G134" i="12" s="1"/>
  <c r="C67" i="2" l="1"/>
  <c r="B41" i="14" s="1"/>
  <c r="E430" i="9"/>
  <c r="E29" i="2" s="1"/>
  <c r="D35" i="14" s="1"/>
  <c r="D430" i="9"/>
  <c r="C430" i="9"/>
  <c r="E423" i="9"/>
  <c r="D423" i="9"/>
  <c r="C423" i="9"/>
  <c r="E416" i="9"/>
  <c r="D416" i="9"/>
  <c r="E401" i="9"/>
  <c r="D401" i="9"/>
  <c r="C401" i="9"/>
  <c r="E385" i="9"/>
  <c r="E101" i="2" s="1"/>
  <c r="D86" i="14" s="1"/>
  <c r="D385" i="9"/>
  <c r="C385" i="9"/>
  <c r="G431" i="9"/>
  <c r="H431" i="9" s="1"/>
  <c r="G430" i="9"/>
  <c r="H430" i="9" s="1"/>
  <c r="G423" i="9"/>
  <c r="H423" i="9" s="1"/>
  <c r="H422" i="9" s="1"/>
  <c r="C99" i="2"/>
  <c r="B42" i="14" s="1"/>
  <c r="H429" i="9" l="1"/>
  <c r="G106" i="2" s="1"/>
  <c r="G105" i="2"/>
  <c r="E98" i="2" l="1"/>
  <c r="D47" i="14" s="1"/>
  <c r="D98" i="2"/>
  <c r="C47" i="14" s="1"/>
  <c r="C98" i="2"/>
  <c r="B47" i="14" s="1"/>
  <c r="E97" i="2"/>
  <c r="D57" i="14" s="1"/>
  <c r="D97" i="2"/>
  <c r="C57" i="14" s="1"/>
  <c r="C97" i="2"/>
  <c r="B57" i="14" s="1"/>
  <c r="D373" i="9"/>
  <c r="C373" i="9"/>
  <c r="E367" i="9"/>
  <c r="D367" i="9"/>
  <c r="C367" i="9"/>
  <c r="E373" i="9"/>
  <c r="E96" i="2"/>
  <c r="D64" i="14" s="1"/>
  <c r="D96" i="2"/>
  <c r="C64" i="14" s="1"/>
  <c r="C96" i="2"/>
  <c r="B64" i="14" s="1"/>
  <c r="E361" i="9"/>
  <c r="D361" i="9"/>
  <c r="C361" i="9"/>
  <c r="E95" i="2"/>
  <c r="D60" i="14" s="1"/>
  <c r="D95" i="2"/>
  <c r="C60" i="14" s="1"/>
  <c r="C95" i="2"/>
  <c r="B60" i="14" s="1"/>
  <c r="D355" i="9"/>
  <c r="C355" i="9"/>
  <c r="G416" i="9"/>
  <c r="G401" i="9"/>
  <c r="H401" i="9" s="1"/>
  <c r="H399" i="9" s="1"/>
  <c r="G385" i="9"/>
  <c r="G373" i="9"/>
  <c r="H373" i="9" s="1"/>
  <c r="H372" i="9" s="1"/>
  <c r="G367" i="9"/>
  <c r="H367" i="9" s="1"/>
  <c r="H366" i="9" s="1"/>
  <c r="F349" i="9"/>
  <c r="E349" i="9"/>
  <c r="E348" i="9"/>
  <c r="D349" i="9"/>
  <c r="C349" i="9"/>
  <c r="G361" i="9"/>
  <c r="H361" i="9" s="1"/>
  <c r="H360" i="9" s="1"/>
  <c r="G355" i="9"/>
  <c r="H355" i="9" s="1"/>
  <c r="H354" i="9" s="1"/>
  <c r="D348" i="9"/>
  <c r="C348" i="9"/>
  <c r="E347" i="9"/>
  <c r="E94" i="2"/>
  <c r="D22" i="14" s="1"/>
  <c r="D94" i="2"/>
  <c r="C22" i="14" s="1"/>
  <c r="C94" i="2"/>
  <c r="B22" i="14" s="1"/>
  <c r="D347" i="9"/>
  <c r="C347" i="9"/>
  <c r="E93" i="2"/>
  <c r="D85" i="14" s="1"/>
  <c r="D93" i="2"/>
  <c r="C85" i="14" s="1"/>
  <c r="C93" i="2"/>
  <c r="B85" i="14" s="1"/>
  <c r="E341" i="9"/>
  <c r="D341" i="9"/>
  <c r="C341" i="9"/>
  <c r="G349" i="9"/>
  <c r="G348" i="9"/>
  <c r="H348" i="9" s="1"/>
  <c r="E92" i="2"/>
  <c r="D82" i="14" s="1"/>
  <c r="D92" i="2"/>
  <c r="C82" i="14" s="1"/>
  <c r="C92" i="2"/>
  <c r="B82" i="14" s="1"/>
  <c r="D335" i="9"/>
  <c r="C335" i="9"/>
  <c r="G335" i="9"/>
  <c r="H335" i="9" s="1"/>
  <c r="H334" i="9" s="1"/>
  <c r="E91" i="2"/>
  <c r="D96" i="14" s="1"/>
  <c r="D91" i="2"/>
  <c r="C96" i="14" s="1"/>
  <c r="C91" i="2"/>
  <c r="B96" i="14" s="1"/>
  <c r="D329" i="9"/>
  <c r="C329" i="9"/>
  <c r="C90" i="2"/>
  <c r="B101" i="14" s="1"/>
  <c r="E90" i="2"/>
  <c r="D101" i="14" s="1"/>
  <c r="D90" i="2"/>
  <c r="C101" i="14" s="1"/>
  <c r="D323" i="9"/>
  <c r="C323" i="9"/>
  <c r="E89" i="2"/>
  <c r="D79" i="14" s="1"/>
  <c r="D89" i="2"/>
  <c r="C79" i="14" s="1"/>
  <c r="C89" i="2"/>
  <c r="B79" i="14" s="1"/>
  <c r="D317" i="9"/>
  <c r="C317" i="9"/>
  <c r="E88" i="2"/>
  <c r="D93" i="14" s="1"/>
  <c r="D88" i="2"/>
  <c r="C93" i="14" s="1"/>
  <c r="C88" i="2"/>
  <c r="B93" i="14" s="1"/>
  <c r="D311" i="9"/>
  <c r="C311" i="9"/>
  <c r="G347" i="9"/>
  <c r="H347" i="9" s="1"/>
  <c r="G341" i="9"/>
  <c r="H341" i="9" s="1"/>
  <c r="H340" i="9" s="1"/>
  <c r="G329" i="9"/>
  <c r="H329" i="9" s="1"/>
  <c r="H328" i="9" s="1"/>
  <c r="G323" i="9"/>
  <c r="H323" i="9" s="1"/>
  <c r="H322" i="9" s="1"/>
  <c r="E86" i="2"/>
  <c r="D97" i="14" s="1"/>
  <c r="D86" i="2"/>
  <c r="C97" i="14" s="1"/>
  <c r="C86" i="2"/>
  <c r="B97" i="14" s="1"/>
  <c r="D299" i="9"/>
  <c r="C299" i="9"/>
  <c r="G311" i="9"/>
  <c r="H311" i="9" s="1"/>
  <c r="H310" i="9" s="1"/>
  <c r="E85" i="2"/>
  <c r="D92" i="14" s="1"/>
  <c r="D85" i="2"/>
  <c r="C92" i="14" s="1"/>
  <c r="C85" i="2"/>
  <c r="B92" i="14" s="1"/>
  <c r="E84" i="2"/>
  <c r="D89" i="14" s="1"/>
  <c r="C84" i="2"/>
  <c r="B89" i="14" s="1"/>
  <c r="D293" i="9"/>
  <c r="C293" i="9"/>
  <c r="G293" i="9"/>
  <c r="H293" i="9" s="1"/>
  <c r="H292" i="9" s="1"/>
  <c r="D287" i="9"/>
  <c r="C287" i="9"/>
  <c r="C83" i="2"/>
  <c r="B90" i="14" s="1"/>
  <c r="E83" i="2"/>
  <c r="D90" i="14" s="1"/>
  <c r="D83" i="2"/>
  <c r="C90" i="14" s="1"/>
  <c r="E82" i="2"/>
  <c r="D66" i="14" s="1"/>
  <c r="D82" i="2"/>
  <c r="C66" i="14" s="1"/>
  <c r="C82" i="2"/>
  <c r="B66" i="14" s="1"/>
  <c r="E281" i="9"/>
  <c r="D281" i="9"/>
  <c r="C281" i="9"/>
  <c r="E275" i="9"/>
  <c r="D275" i="9"/>
  <c r="C275" i="9"/>
  <c r="G281" i="9"/>
  <c r="H281" i="9" s="1"/>
  <c r="H280" i="9" s="1"/>
  <c r="E81" i="2"/>
  <c r="D54" i="14" s="1"/>
  <c r="D81" i="2"/>
  <c r="C54" i="14" s="1"/>
  <c r="C81" i="2"/>
  <c r="B54" i="14" s="1"/>
  <c r="E80" i="2"/>
  <c r="D36" i="14" s="1"/>
  <c r="D80" i="2"/>
  <c r="C36" i="14" s="1"/>
  <c r="C80" i="2"/>
  <c r="B36" i="14" s="1"/>
  <c r="E79" i="2"/>
  <c r="D53" i="14" s="1"/>
  <c r="D79" i="2"/>
  <c r="C53" i="14" s="1"/>
  <c r="C79" i="2"/>
  <c r="B53" i="14" s="1"/>
  <c r="E78" i="2"/>
  <c r="D40" i="14" s="1"/>
  <c r="D78" i="2"/>
  <c r="C40" i="14" s="1"/>
  <c r="C78" i="2"/>
  <c r="B40" i="14" s="1"/>
  <c r="E77" i="2"/>
  <c r="D72" i="14" s="1"/>
  <c r="D77" i="2"/>
  <c r="C72" i="14" s="1"/>
  <c r="C77" i="2"/>
  <c r="B72" i="14" s="1"/>
  <c r="C76" i="2"/>
  <c r="B51" i="14" s="1"/>
  <c r="E76" i="2"/>
  <c r="D51" i="14" s="1"/>
  <c r="D76" i="2"/>
  <c r="C51" i="14" s="1"/>
  <c r="D239" i="9"/>
  <c r="C239" i="9"/>
  <c r="D233" i="9"/>
  <c r="C233" i="9"/>
  <c r="D227" i="9"/>
  <c r="C227" i="9"/>
  <c r="D267" i="9"/>
  <c r="C267" i="9"/>
  <c r="D257" i="9"/>
  <c r="C257" i="9"/>
  <c r="D247" i="9"/>
  <c r="C247" i="9"/>
  <c r="G299" i="9"/>
  <c r="H299" i="9" s="1"/>
  <c r="H298" i="9" s="1"/>
  <c r="G287" i="9"/>
  <c r="H287" i="9" s="1"/>
  <c r="H286" i="9" s="1"/>
  <c r="G275" i="9"/>
  <c r="H275" i="9" s="1"/>
  <c r="H274" i="9" s="1"/>
  <c r="G267" i="9"/>
  <c r="H267" i="9" s="1"/>
  <c r="H264" i="9" s="1"/>
  <c r="G257" i="9"/>
  <c r="H257" i="9" s="1"/>
  <c r="H254" i="9" s="1"/>
  <c r="D41" i="14"/>
  <c r="D67" i="2"/>
  <c r="C41" i="14" s="1"/>
  <c r="E247" i="9"/>
  <c r="C68" i="2"/>
  <c r="B32" i="14" s="1"/>
  <c r="E68" i="2"/>
  <c r="D32" i="14" s="1"/>
  <c r="D68" i="2"/>
  <c r="C32" i="14" s="1"/>
  <c r="E176" i="9"/>
  <c r="D176" i="9"/>
  <c r="C176" i="9"/>
  <c r="G176" i="9"/>
  <c r="H176" i="9" s="1"/>
  <c r="H173" i="9" s="1"/>
  <c r="G247" i="9"/>
  <c r="H247" i="9" s="1"/>
  <c r="H244" i="9" s="1"/>
  <c r="G239" i="9"/>
  <c r="H239" i="9" s="1"/>
  <c r="H238" i="9" s="1"/>
  <c r="E74" i="2"/>
  <c r="D87" i="14" s="1"/>
  <c r="D74" i="2"/>
  <c r="C87" i="14" s="1"/>
  <c r="C74" i="2"/>
  <c r="B87" i="14" s="1"/>
  <c r="E75" i="2"/>
  <c r="D71" i="14" s="1"/>
  <c r="D75" i="2"/>
  <c r="C71" i="14" s="1"/>
  <c r="C75" i="2"/>
  <c r="B71" i="14" s="1"/>
  <c r="E221" i="9"/>
  <c r="D221" i="9"/>
  <c r="C221" i="9"/>
  <c r="D215" i="9"/>
  <c r="C215" i="9"/>
  <c r="C71" i="2"/>
  <c r="B100" i="14" s="1"/>
  <c r="E71" i="2"/>
  <c r="D100" i="14" s="1"/>
  <c r="D71" i="2"/>
  <c r="C100" i="14" s="1"/>
  <c r="C197" i="9"/>
  <c r="D197" i="9"/>
  <c r="E70" i="2"/>
  <c r="D58" i="14" s="1"/>
  <c r="C70" i="2"/>
  <c r="B58" i="14" s="1"/>
  <c r="D70" i="2"/>
  <c r="C58" i="14" s="1"/>
  <c r="E191" i="9"/>
  <c r="D191" i="9"/>
  <c r="C191" i="9"/>
  <c r="G233" i="9"/>
  <c r="H233" i="9" s="1"/>
  <c r="H232" i="9" s="1"/>
  <c r="G227" i="9"/>
  <c r="H227" i="9" s="1"/>
  <c r="H226" i="9" s="1"/>
  <c r="G215" i="9"/>
  <c r="H215" i="9" s="1"/>
  <c r="H214" i="9" s="1"/>
  <c r="C69" i="2"/>
  <c r="B46" i="14" s="1"/>
  <c r="E69" i="2"/>
  <c r="D46" i="14" s="1"/>
  <c r="D69" i="2"/>
  <c r="C46" i="14" s="1"/>
  <c r="D185" i="9"/>
  <c r="C185" i="9"/>
  <c r="G185" i="9"/>
  <c r="H185" i="9" s="1"/>
  <c r="H184" i="9" s="1"/>
  <c r="H349" i="9" l="1"/>
  <c r="H346" i="9" s="1"/>
  <c r="G94" i="2" s="1"/>
  <c r="H416" i="9"/>
  <c r="H415" i="9" s="1"/>
  <c r="G104" i="2" s="1"/>
  <c r="H385" i="9"/>
  <c r="H384" i="9" s="1"/>
  <c r="G100" i="2" s="1"/>
  <c r="G102" i="2"/>
  <c r="G91" i="2"/>
  <c r="G86" i="2"/>
  <c r="G90" i="2"/>
  <c r="G76" i="2"/>
  <c r="G92" i="2"/>
  <c r="G69" i="2"/>
  <c r="G78" i="2"/>
  <c r="G80" i="2"/>
  <c r="G84" i="2"/>
  <c r="G98" i="2"/>
  <c r="G93" i="2"/>
  <c r="G85" i="2"/>
  <c r="G99" i="2"/>
  <c r="G97" i="2"/>
  <c r="G96" i="2"/>
  <c r="G95" i="2"/>
  <c r="G317" i="9"/>
  <c r="G88" i="2"/>
  <c r="G83" i="2"/>
  <c r="G82" i="2"/>
  <c r="G67" i="2"/>
  <c r="G77" i="2"/>
  <c r="G68" i="2"/>
  <c r="G81" i="2"/>
  <c r="H317" i="9" l="1"/>
  <c r="H316" i="9" s="1"/>
  <c r="G89" i="2" s="1"/>
  <c r="G74" i="2"/>
  <c r="C43" i="2" l="1"/>
  <c r="B29" i="14" s="1"/>
  <c r="E43" i="2"/>
  <c r="D29" i="14" s="1"/>
  <c r="D43" i="2"/>
  <c r="C29" i="14" s="1"/>
  <c r="E42" i="2"/>
  <c r="D31" i="14" s="1"/>
  <c r="D42" i="2"/>
  <c r="C31" i="14" s="1"/>
  <c r="C42" i="2"/>
  <c r="B31" i="14" s="1"/>
  <c r="E122" i="9"/>
  <c r="D122" i="9"/>
  <c r="C122" i="9"/>
  <c r="E117" i="9"/>
  <c r="D117" i="9"/>
  <c r="C117" i="9"/>
  <c r="E41" i="2" l="1"/>
  <c r="D75" i="14" s="1"/>
  <c r="D41" i="2"/>
  <c r="C75" i="14" s="1"/>
  <c r="E112" i="9"/>
  <c r="D112" i="9"/>
  <c r="C112" i="9"/>
  <c r="G191" i="9"/>
  <c r="G122" i="9"/>
  <c r="G117" i="9"/>
  <c r="H117" i="9" s="1"/>
  <c r="H116" i="9" s="1"/>
  <c r="C40" i="2"/>
  <c r="B26" i="14" s="1"/>
  <c r="E40" i="2"/>
  <c r="D26" i="14" s="1"/>
  <c r="D40" i="2"/>
  <c r="C26" i="14" s="1"/>
  <c r="E107" i="9"/>
  <c r="D107" i="9"/>
  <c r="C107" i="9"/>
  <c r="C39" i="2"/>
  <c r="B24" i="14" s="1"/>
  <c r="E39" i="2"/>
  <c r="D24" i="14" s="1"/>
  <c r="D39" i="2"/>
  <c r="C24" i="14" s="1"/>
  <c r="H122" i="9" l="1"/>
  <c r="H121" i="9" s="1"/>
  <c r="G43" i="2" s="1"/>
  <c r="H191" i="9"/>
  <c r="H190" i="9" s="1"/>
  <c r="G70" i="2" s="1"/>
  <c r="G42" i="2"/>
  <c r="E102" i="9" l="1"/>
  <c r="D102" i="9"/>
  <c r="C102" i="9"/>
  <c r="G112" i="9"/>
  <c r="G107" i="9"/>
  <c r="G102" i="9"/>
  <c r="H102" i="9" s="1"/>
  <c r="H101" i="9" s="1"/>
  <c r="H107" i="9" l="1"/>
  <c r="H106" i="9" s="1"/>
  <c r="G40" i="2" s="1"/>
  <c r="H112" i="9"/>
  <c r="H111" i="9" s="1"/>
  <c r="G41" i="2" s="1"/>
  <c r="G39" i="2"/>
  <c r="H40" i="2" l="1"/>
  <c r="H39" i="2"/>
  <c r="C57" i="2"/>
  <c r="B69" i="14" s="1"/>
  <c r="E57" i="2"/>
  <c r="D69" i="14" s="1"/>
  <c r="C69" i="14"/>
  <c r="E144" i="9"/>
  <c r="D144" i="9"/>
  <c r="C144" i="9"/>
  <c r="G144" i="9"/>
  <c r="H144" i="9" s="1"/>
  <c r="H143" i="9" s="1"/>
  <c r="C56" i="2"/>
  <c r="B62" i="14" s="1"/>
  <c r="E56" i="2"/>
  <c r="D62" i="14" s="1"/>
  <c r="D56" i="2"/>
  <c r="C62" i="14" s="1"/>
  <c r="E138" i="9"/>
  <c r="D138" i="9"/>
  <c r="C138" i="9"/>
  <c r="G138" i="9"/>
  <c r="H138" i="9" s="1"/>
  <c r="H137" i="9" s="1"/>
  <c r="C55" i="2"/>
  <c r="B55" i="14" s="1"/>
  <c r="E55" i="2"/>
  <c r="D55" i="14" s="1"/>
  <c r="D55" i="2"/>
  <c r="C55" i="14" s="1"/>
  <c r="E133" i="9"/>
  <c r="D133" i="9"/>
  <c r="C133" i="9"/>
  <c r="G133" i="9"/>
  <c r="H133" i="9" s="1"/>
  <c r="H132" i="9" s="1"/>
  <c r="E36" i="2"/>
  <c r="D67" i="14" s="1"/>
  <c r="D36" i="2"/>
  <c r="C67" i="14" s="1"/>
  <c r="C36" i="2"/>
  <c r="B67" i="14" s="1"/>
  <c r="E91" i="9"/>
  <c r="D91" i="9"/>
  <c r="C91" i="9"/>
  <c r="C37" i="2"/>
  <c r="B44" i="14" s="1"/>
  <c r="E97" i="9"/>
  <c r="D97" i="9"/>
  <c r="C97" i="9"/>
  <c r="G97" i="9"/>
  <c r="H97" i="9" s="1"/>
  <c r="H96" i="9" s="1"/>
  <c r="E37" i="2"/>
  <c r="D44" i="14" s="1"/>
  <c r="D37" i="2"/>
  <c r="C44" i="14" s="1"/>
  <c r="G91" i="9"/>
  <c r="H91" i="9" s="1"/>
  <c r="H90" i="9" s="1"/>
  <c r="C35" i="2"/>
  <c r="B45" i="14" s="1"/>
  <c r="E35" i="2"/>
  <c r="D45" i="14" s="1"/>
  <c r="D35" i="2"/>
  <c r="C45" i="14" s="1"/>
  <c r="E85" i="9"/>
  <c r="D85" i="9"/>
  <c r="C85" i="9"/>
  <c r="G85" i="9"/>
  <c r="H85" i="9" s="1"/>
  <c r="H84" i="9" s="1"/>
  <c r="C33" i="2"/>
  <c r="B70" i="14" s="1"/>
  <c r="E33" i="2"/>
  <c r="D70" i="14" s="1"/>
  <c r="D33" i="2"/>
  <c r="C70" i="14" s="1"/>
  <c r="C79" i="9"/>
  <c r="I39" i="2" l="1"/>
  <c r="F24" i="14"/>
  <c r="I40" i="2"/>
  <c r="G26" i="14" s="1"/>
  <c r="F26" i="14"/>
  <c r="G55" i="2"/>
  <c r="G57" i="2"/>
  <c r="G56" i="2"/>
  <c r="G54" i="2"/>
  <c r="G36" i="2"/>
  <c r="G37" i="2"/>
  <c r="G35" i="2"/>
  <c r="G24" i="14" l="1"/>
  <c r="I115" i="2"/>
  <c r="G79" i="9"/>
  <c r="H79" i="9" s="1"/>
  <c r="H78" i="9" s="1"/>
  <c r="C32" i="2" l="1"/>
  <c r="B88" i="14" s="1"/>
  <c r="E32" i="2"/>
  <c r="D88" i="14" s="1"/>
  <c r="D32" i="2"/>
  <c r="C88" i="14" s="1"/>
  <c r="C73" i="9"/>
  <c r="G73" i="9"/>
  <c r="H73" i="9" s="1"/>
  <c r="H72" i="9" s="1"/>
  <c r="C31" i="2"/>
  <c r="B63" i="14" s="1"/>
  <c r="E31" i="2"/>
  <c r="D63" i="14" s="1"/>
  <c r="D31" i="2"/>
  <c r="C63" i="14" s="1"/>
  <c r="C67" i="9"/>
  <c r="G67" i="9"/>
  <c r="H67" i="9" s="1"/>
  <c r="H66" i="9" s="1"/>
  <c r="C30" i="2"/>
  <c r="B77" i="14" s="1"/>
  <c r="E30" i="2"/>
  <c r="D77" i="14" s="1"/>
  <c r="D30" i="2"/>
  <c r="C77" i="14" s="1"/>
  <c r="C61" i="9"/>
  <c r="G61" i="9"/>
  <c r="H61" i="9" s="1"/>
  <c r="H60" i="9" s="1"/>
  <c r="C28" i="2"/>
  <c r="B34" i="14" s="1"/>
  <c r="E28" i="2"/>
  <c r="D34" i="14" s="1"/>
  <c r="C26" i="2"/>
  <c r="B37" i="14" s="1"/>
  <c r="E26" i="2"/>
  <c r="D37" i="14" s="1"/>
  <c r="E27" i="2"/>
  <c r="D52" i="14" s="1"/>
  <c r="C27" i="2"/>
  <c r="B52" i="14" s="1"/>
  <c r="C48" i="9"/>
  <c r="D28" i="2"/>
  <c r="C34" i="14" s="1"/>
  <c r="C42" i="9"/>
  <c r="C35" i="9"/>
  <c r="C41" i="9"/>
  <c r="D27" i="2"/>
  <c r="C52" i="14" s="1"/>
  <c r="G41" i="9"/>
  <c r="H41" i="9" s="1"/>
  <c r="G31" i="2" l="1"/>
  <c r="G49" i="9"/>
  <c r="H49" i="9" s="1"/>
  <c r="G48" i="9"/>
  <c r="H48" i="9" s="1"/>
  <c r="G33" i="2"/>
  <c r="G32" i="2"/>
  <c r="G30" i="2"/>
  <c r="H47" i="9" l="1"/>
  <c r="G28" i="2" s="1"/>
  <c r="C34" i="9" l="1"/>
  <c r="D26" i="2"/>
  <c r="C37" i="14" s="1"/>
  <c r="G18" i="12"/>
  <c r="G34" i="9" s="1"/>
  <c r="H34" i="9" s="1"/>
  <c r="G42" i="9" l="1"/>
  <c r="G35" i="9"/>
  <c r="H35" i="9" s="1"/>
  <c r="H33" i="9" s="1"/>
  <c r="H42" i="9" l="1"/>
  <c r="H40" i="9" s="1"/>
  <c r="G27" i="2" s="1"/>
  <c r="G26" i="2"/>
  <c r="C22" i="2"/>
  <c r="B25" i="14" s="1"/>
  <c r="C20" i="2"/>
  <c r="B76" i="14" s="1"/>
  <c r="I15" i="14" l="1"/>
  <c r="I14" i="14" l="1"/>
  <c r="C16" i="14"/>
  <c r="C15" i="14"/>
  <c r="C11" i="14"/>
  <c r="C10" i="14"/>
  <c r="C9" i="14"/>
  <c r="G221" i="9" l="1"/>
  <c r="H221" i="9" l="1"/>
  <c r="H220" i="9" s="1"/>
  <c r="G75" i="2" s="1"/>
  <c r="G79" i="2"/>
  <c r="M15" i="10" l="1"/>
  <c r="F20" i="2" l="1"/>
  <c r="E76" i="14" s="1"/>
  <c r="C361" i="12"/>
  <c r="G197" i="9" l="1"/>
  <c r="H202" i="9"/>
  <c r="G72" i="2" s="1"/>
  <c r="M13" i="10"/>
  <c r="H197" i="9" l="1"/>
  <c r="H196" i="9" s="1"/>
  <c r="G71" i="2" s="1"/>
  <c r="D22" i="2"/>
  <c r="C25" i="14" s="1"/>
  <c r="H29" i="11" l="1"/>
  <c r="G28" i="11"/>
  <c r="G29" i="11" s="1"/>
  <c r="D20" i="8" s="1"/>
  <c r="G22" i="11"/>
  <c r="C14" i="14" l="1"/>
  <c r="F9" i="15"/>
  <c r="D20" i="2" l="1"/>
  <c r="C76" i="14" s="1"/>
  <c r="H10" i="11" l="1"/>
  <c r="G10" i="11"/>
  <c r="G10" i="12"/>
  <c r="F10" i="12"/>
  <c r="M5" i="10"/>
  <c r="L5" i="10"/>
  <c r="H10" i="9"/>
  <c r="G10" i="9"/>
  <c r="H10" i="2"/>
  <c r="I10" i="2"/>
  <c r="I15" i="1"/>
  <c r="B9" i="9" l="1"/>
  <c r="G9" i="12" l="1"/>
  <c r="G11" i="12"/>
  <c r="E12" i="12"/>
  <c r="D12" i="12"/>
  <c r="F11" i="12"/>
  <c r="E11" i="12"/>
  <c r="D11" i="12"/>
  <c r="B11" i="12"/>
  <c r="A11" i="12"/>
  <c r="E10" i="12"/>
  <c r="D10" i="12"/>
  <c r="B10" i="12"/>
  <c r="A10" i="12"/>
  <c r="F9" i="12"/>
  <c r="D9" i="12"/>
  <c r="B9" i="12"/>
  <c r="A9" i="12"/>
  <c r="F12" i="11" l="1"/>
  <c r="F7" i="10"/>
  <c r="F12" i="9"/>
  <c r="E9" i="12" l="1"/>
  <c r="E12" i="11"/>
  <c r="H11" i="11"/>
  <c r="G11" i="11"/>
  <c r="F11" i="11"/>
  <c r="E11" i="11"/>
  <c r="B11" i="11"/>
  <c r="A11" i="11"/>
  <c r="F10" i="11"/>
  <c r="E10" i="11"/>
  <c r="B10" i="11"/>
  <c r="A10" i="11"/>
  <c r="H9" i="11"/>
  <c r="G9" i="11"/>
  <c r="F9" i="11"/>
  <c r="E9" i="11"/>
  <c r="B9" i="11"/>
  <c r="A9" i="11"/>
  <c r="B4" i="10"/>
  <c r="B5" i="10"/>
  <c r="B6" i="10"/>
  <c r="E7" i="10" l="1"/>
  <c r="M6" i="10"/>
  <c r="L6" i="10"/>
  <c r="F6" i="10"/>
  <c r="E6" i="10"/>
  <c r="A6" i="10"/>
  <c r="F5" i="10"/>
  <c r="E5" i="10"/>
  <c r="A5" i="10"/>
  <c r="M4" i="10"/>
  <c r="L4" i="10"/>
  <c r="F4" i="10"/>
  <c r="E4" i="10"/>
  <c r="A4" i="10"/>
  <c r="H20" i="9"/>
  <c r="H19" i="9" s="1"/>
  <c r="G9" i="9"/>
  <c r="G11" i="9"/>
  <c r="E12" i="9"/>
  <c r="H11" i="9"/>
  <c r="F11" i="9"/>
  <c r="E11" i="9"/>
  <c r="B11" i="9"/>
  <c r="A11" i="9"/>
  <c r="F10" i="9"/>
  <c r="E10" i="9"/>
  <c r="B10" i="9"/>
  <c r="A10" i="9"/>
  <c r="H9" i="9"/>
  <c r="F9" i="9"/>
  <c r="E9" i="9"/>
  <c r="A9" i="9"/>
  <c r="G20" i="2" l="1"/>
  <c r="I11" i="2"/>
  <c r="H11" i="2"/>
  <c r="I9" i="2"/>
  <c r="H9" i="2"/>
  <c r="E12" i="2"/>
  <c r="F12" i="2"/>
  <c r="F11" i="2"/>
  <c r="F9" i="2"/>
  <c r="H29" i="2" s="1"/>
  <c r="E11" i="2"/>
  <c r="E9" i="2"/>
  <c r="B9" i="2"/>
  <c r="B11" i="2"/>
  <c r="B10" i="2"/>
  <c r="A11" i="2"/>
  <c r="A10" i="2"/>
  <c r="A9" i="2"/>
  <c r="I29" i="2" l="1"/>
  <c r="G35" i="14" s="1"/>
  <c r="F35" i="14"/>
  <c r="H66" i="2"/>
  <c r="H101" i="2"/>
  <c r="H64" i="2"/>
  <c r="H65" i="2"/>
  <c r="H62" i="2"/>
  <c r="H63" i="2"/>
  <c r="H103" i="2"/>
  <c r="H58" i="2"/>
  <c r="H59" i="2"/>
  <c r="H60" i="2"/>
  <c r="H48" i="2"/>
  <c r="H52" i="2"/>
  <c r="H61" i="2"/>
  <c r="H50" i="2"/>
  <c r="H109" i="2"/>
  <c r="F68" i="14" s="1"/>
  <c r="H45" i="2"/>
  <c r="H49" i="2"/>
  <c r="H46" i="2"/>
  <c r="H34" i="2"/>
  <c r="H47" i="2"/>
  <c r="H21" i="2"/>
  <c r="F91" i="14" s="1"/>
  <c r="H51" i="2"/>
  <c r="H53" i="2"/>
  <c r="H73" i="2"/>
  <c r="H87" i="2"/>
  <c r="H111" i="2"/>
  <c r="F33" i="14" s="1"/>
  <c r="H110" i="2"/>
  <c r="F21" i="14" s="1"/>
  <c r="H106" i="2"/>
  <c r="H105" i="2"/>
  <c r="H94" i="2"/>
  <c r="H78" i="2"/>
  <c r="H84" i="2"/>
  <c r="H96" i="2"/>
  <c r="H82" i="2"/>
  <c r="H68" i="2"/>
  <c r="H80" i="2"/>
  <c r="H100" i="2"/>
  <c r="H83" i="2"/>
  <c r="H88" i="2"/>
  <c r="H86" i="2"/>
  <c r="H69" i="2"/>
  <c r="H90" i="2"/>
  <c r="H91" i="2"/>
  <c r="H93" i="2"/>
  <c r="H97" i="2"/>
  <c r="H85" i="2"/>
  <c r="H102" i="2"/>
  <c r="H92" i="2"/>
  <c r="H76" i="2"/>
  <c r="H99" i="2"/>
  <c r="H95" i="2"/>
  <c r="H77" i="2"/>
  <c r="H81" i="2"/>
  <c r="H67" i="2"/>
  <c r="H104" i="2"/>
  <c r="H98" i="2"/>
  <c r="H74" i="2"/>
  <c r="H89" i="2"/>
  <c r="H70" i="2"/>
  <c r="H42" i="2"/>
  <c r="H43" i="2"/>
  <c r="H41" i="2"/>
  <c r="H37" i="2"/>
  <c r="H56" i="2"/>
  <c r="H57" i="2"/>
  <c r="H54" i="2"/>
  <c r="I54" i="2" s="1"/>
  <c r="H55" i="2"/>
  <c r="H36" i="2"/>
  <c r="H35" i="2"/>
  <c r="H32" i="2"/>
  <c r="H33" i="2"/>
  <c r="H31" i="2"/>
  <c r="H30" i="2"/>
  <c r="H28" i="2"/>
  <c r="H27" i="2"/>
  <c r="H26" i="2"/>
  <c r="F37" i="14" s="1"/>
  <c r="H79" i="2"/>
  <c r="H75" i="2"/>
  <c r="H72" i="2"/>
  <c r="H71" i="2"/>
  <c r="H20" i="2"/>
  <c r="F76" i="14" s="1"/>
  <c r="G22" i="2"/>
  <c r="I14" i="1"/>
  <c r="C16" i="1"/>
  <c r="C15" i="1"/>
  <c r="C14" i="1"/>
  <c r="A16" i="1"/>
  <c r="A15" i="1"/>
  <c r="A14" i="1"/>
  <c r="C11" i="1"/>
  <c r="C10" i="1"/>
  <c r="A11" i="1"/>
  <c r="A10" i="1"/>
  <c r="A9" i="1"/>
  <c r="I103" i="2" l="1"/>
  <c r="G61" i="14" s="1"/>
  <c r="F61" i="14"/>
  <c r="I63" i="2"/>
  <c r="G73" i="14" s="1"/>
  <c r="F73" i="14"/>
  <c r="I62" i="2"/>
  <c r="G50" i="14" s="1"/>
  <c r="F50" i="14"/>
  <c r="I65" i="2"/>
  <c r="G103" i="14" s="1"/>
  <c r="F103" i="14"/>
  <c r="I58" i="2"/>
  <c r="G83" i="14" s="1"/>
  <c r="F83" i="14"/>
  <c r="I64" i="2"/>
  <c r="G84" i="14" s="1"/>
  <c r="F84" i="14"/>
  <c r="I101" i="2"/>
  <c r="G86" i="14" s="1"/>
  <c r="F86" i="14"/>
  <c r="I66" i="2"/>
  <c r="G65" i="14" s="1"/>
  <c r="F65" i="14"/>
  <c r="I98" i="2"/>
  <c r="G47" i="14" s="1"/>
  <c r="F47" i="14"/>
  <c r="I93" i="2"/>
  <c r="G85" i="14" s="1"/>
  <c r="F85" i="14"/>
  <c r="I84" i="2"/>
  <c r="G89" i="14" s="1"/>
  <c r="F89" i="14"/>
  <c r="F78" i="14"/>
  <c r="I47" i="2"/>
  <c r="G78" i="14" s="1"/>
  <c r="G27" i="14"/>
  <c r="F27" i="14"/>
  <c r="I67" i="2"/>
  <c r="G41" i="14" s="1"/>
  <c r="F41" i="14"/>
  <c r="I90" i="2"/>
  <c r="G101" i="14" s="1"/>
  <c r="F101" i="14"/>
  <c r="I94" i="2"/>
  <c r="G22" i="14" s="1"/>
  <c r="F22" i="14"/>
  <c r="F56" i="14"/>
  <c r="I46" i="2"/>
  <c r="G56" i="14" s="1"/>
  <c r="I71" i="2"/>
  <c r="G100" i="14" s="1"/>
  <c r="F100" i="14"/>
  <c r="I75" i="2"/>
  <c r="G71" i="14" s="1"/>
  <c r="F71" i="14"/>
  <c r="I81" i="2"/>
  <c r="G54" i="14" s="1"/>
  <c r="F54" i="14"/>
  <c r="I69" i="2"/>
  <c r="G46" i="14" s="1"/>
  <c r="F46" i="14"/>
  <c r="I105" i="2"/>
  <c r="G39" i="14" s="1"/>
  <c r="F39" i="14"/>
  <c r="F95" i="14"/>
  <c r="I49" i="2"/>
  <c r="G95" i="14" s="1"/>
  <c r="I104" i="2"/>
  <c r="G38" i="14" s="1"/>
  <c r="F38" i="14"/>
  <c r="I86" i="2"/>
  <c r="G97" i="14" s="1"/>
  <c r="F97" i="14"/>
  <c r="I106" i="2"/>
  <c r="G30" i="14" s="1"/>
  <c r="F30" i="14"/>
  <c r="I45" i="2"/>
  <c r="G49" i="14" s="1"/>
  <c r="F49" i="14"/>
  <c r="I27" i="2"/>
  <c r="G52" i="14" s="1"/>
  <c r="F52" i="14"/>
  <c r="I95" i="2"/>
  <c r="G60" i="14" s="1"/>
  <c r="F60" i="14"/>
  <c r="I88" i="2"/>
  <c r="G93" i="14" s="1"/>
  <c r="F93" i="14"/>
  <c r="I55" i="2"/>
  <c r="G55" i="14" s="1"/>
  <c r="F55" i="14"/>
  <c r="I57" i="2"/>
  <c r="G69" i="14" s="1"/>
  <c r="F69" i="14"/>
  <c r="I41" i="2"/>
  <c r="G75" i="14" s="1"/>
  <c r="F75" i="14"/>
  <c r="I99" i="2"/>
  <c r="G42" i="14" s="1"/>
  <c r="F42" i="14"/>
  <c r="I83" i="2"/>
  <c r="G90" i="14" s="1"/>
  <c r="F90" i="14"/>
  <c r="F94" i="14"/>
  <c r="I50" i="2"/>
  <c r="G94" i="14" s="1"/>
  <c r="F28" i="14"/>
  <c r="I34" i="2"/>
  <c r="G28" i="14" s="1"/>
  <c r="I77" i="2"/>
  <c r="G72" i="14" s="1"/>
  <c r="F72" i="14"/>
  <c r="I30" i="2"/>
  <c r="G77" i="14" s="1"/>
  <c r="F77" i="14"/>
  <c r="I43" i="2"/>
  <c r="G29" i="14" s="1"/>
  <c r="F29" i="14"/>
  <c r="I76" i="2"/>
  <c r="G51" i="14" s="1"/>
  <c r="F51" i="14"/>
  <c r="I100" i="2"/>
  <c r="G74" i="14" s="1"/>
  <c r="F74" i="14"/>
  <c r="I87" i="2"/>
  <c r="G99" i="14" s="1"/>
  <c r="F99" i="14"/>
  <c r="F81" i="14"/>
  <c r="I61" i="2"/>
  <c r="G81" i="14" s="1"/>
  <c r="I72" i="2"/>
  <c r="G105" i="14" s="1"/>
  <c r="F105" i="14"/>
  <c r="I42" i="2"/>
  <c r="G31" i="14" s="1"/>
  <c r="F31" i="14"/>
  <c r="I92" i="2"/>
  <c r="G82" i="14" s="1"/>
  <c r="F82" i="14"/>
  <c r="I80" i="2"/>
  <c r="G36" i="14" s="1"/>
  <c r="F36" i="14"/>
  <c r="I73" i="2"/>
  <c r="G104" i="14" s="1"/>
  <c r="F104" i="14"/>
  <c r="F98" i="14"/>
  <c r="I52" i="2"/>
  <c r="G98" i="14" s="1"/>
  <c r="I36" i="2"/>
  <c r="G67" i="14" s="1"/>
  <c r="F67" i="14"/>
  <c r="I28" i="2"/>
  <c r="G34" i="14" s="1"/>
  <c r="F34" i="14"/>
  <c r="I33" i="2"/>
  <c r="G70" i="14" s="1"/>
  <c r="F70" i="14"/>
  <c r="I70" i="2"/>
  <c r="G58" i="14" s="1"/>
  <c r="F58" i="14"/>
  <c r="I102" i="2"/>
  <c r="G43" i="14" s="1"/>
  <c r="F43" i="14"/>
  <c r="I68" i="2"/>
  <c r="G32" i="14" s="1"/>
  <c r="F32" i="14"/>
  <c r="I53" i="2"/>
  <c r="G23" i="14" s="1"/>
  <c r="F23" i="14"/>
  <c r="F59" i="14"/>
  <c r="I48" i="2"/>
  <c r="G59" i="14" s="1"/>
  <c r="I91" i="2"/>
  <c r="G96" i="14" s="1"/>
  <c r="F96" i="14"/>
  <c r="I56" i="2"/>
  <c r="G62" i="14" s="1"/>
  <c r="F62" i="14"/>
  <c r="I32" i="2"/>
  <c r="G88" i="14" s="1"/>
  <c r="F88" i="14"/>
  <c r="I89" i="2"/>
  <c r="G79" i="14" s="1"/>
  <c r="F79" i="14"/>
  <c r="I85" i="2"/>
  <c r="G92" i="14" s="1"/>
  <c r="F92" i="14"/>
  <c r="I82" i="2"/>
  <c r="G66" i="14" s="1"/>
  <c r="F66" i="14"/>
  <c r="F102" i="14"/>
  <c r="I51" i="2"/>
  <c r="G102" i="14" s="1"/>
  <c r="F80" i="14"/>
  <c r="I60" i="2"/>
  <c r="G80" i="14" s="1"/>
  <c r="I78" i="2"/>
  <c r="G40" i="14" s="1"/>
  <c r="F40" i="14"/>
  <c r="I79" i="2"/>
  <c r="G53" i="14" s="1"/>
  <c r="F53" i="14"/>
  <c r="I37" i="2"/>
  <c r="G44" i="14" s="1"/>
  <c r="F44" i="14"/>
  <c r="I31" i="2"/>
  <c r="G63" i="14" s="1"/>
  <c r="F63" i="14"/>
  <c r="I26" i="2"/>
  <c r="G37" i="14" s="1"/>
  <c r="I35" i="2"/>
  <c r="G45" i="14" s="1"/>
  <c r="F45" i="14"/>
  <c r="I74" i="2"/>
  <c r="G87" i="14" s="1"/>
  <c r="F87" i="14"/>
  <c r="I97" i="2"/>
  <c r="G57" i="14" s="1"/>
  <c r="F57" i="14"/>
  <c r="I96" i="2"/>
  <c r="G64" i="14" s="1"/>
  <c r="F64" i="14"/>
  <c r="F48" i="14"/>
  <c r="I59" i="2"/>
  <c r="G48" i="14" s="1"/>
  <c r="H22" i="2"/>
  <c r="F25" i="14" s="1"/>
  <c r="I111" i="2"/>
  <c r="G33" i="14" s="1"/>
  <c r="I110" i="2"/>
  <c r="G21" i="14" s="1"/>
  <c r="I109" i="2"/>
  <c r="G68" i="14" s="1"/>
  <c r="I21" i="2"/>
  <c r="G91" i="14" s="1"/>
  <c r="I20" i="2"/>
  <c r="G76" i="14" s="1"/>
  <c r="I108" i="2" l="1"/>
  <c r="D15" i="10" s="1"/>
  <c r="I44" i="2"/>
  <c r="I22" i="2"/>
  <c r="G25" i="14" s="1"/>
  <c r="I38" i="2"/>
  <c r="I25" i="2"/>
  <c r="I19" i="2" l="1"/>
  <c r="D13" i="10" s="1"/>
  <c r="F13" i="10" s="1"/>
  <c r="I24" i="2"/>
  <c r="J23" i="1"/>
  <c r="J22" i="1" l="1"/>
  <c r="I113" i="2"/>
  <c r="J21" i="1"/>
  <c r="I117" i="2"/>
  <c r="D14" i="10"/>
  <c r="H14" i="10" s="1"/>
  <c r="J13" i="10"/>
  <c r="H13" i="10"/>
  <c r="F15" i="10"/>
  <c r="J15" i="10"/>
  <c r="H15" i="10"/>
  <c r="J24" i="1" l="1"/>
  <c r="H22" i="14" s="1"/>
  <c r="H21" i="14"/>
  <c r="I21" i="14" s="1"/>
  <c r="D16" i="10"/>
  <c r="F14" i="10"/>
  <c r="F16" i="10" s="1"/>
  <c r="J14" i="10"/>
  <c r="I23" i="1"/>
  <c r="I21" i="1"/>
  <c r="L13" i="10"/>
  <c r="L15" i="10"/>
  <c r="H16" i="10"/>
  <c r="H50" i="14" l="1"/>
  <c r="H26" i="14"/>
  <c r="H24" i="14"/>
  <c r="H35" i="14"/>
  <c r="H53" i="14"/>
  <c r="H103" i="14"/>
  <c r="H37" i="14"/>
  <c r="H71" i="14"/>
  <c r="H91" i="14"/>
  <c r="H72" i="14"/>
  <c r="H73" i="14"/>
  <c r="H56" i="14"/>
  <c r="H46" i="14"/>
  <c r="H104" i="14"/>
  <c r="H83" i="14"/>
  <c r="H45" i="14"/>
  <c r="H62" i="14"/>
  <c r="H48" i="14"/>
  <c r="H92" i="14"/>
  <c r="H101" i="14"/>
  <c r="H64" i="14"/>
  <c r="H93" i="14"/>
  <c r="H76" i="14"/>
  <c r="H33" i="14"/>
  <c r="H27" i="14"/>
  <c r="H51" i="14"/>
  <c r="H70" i="14"/>
  <c r="H67" i="14"/>
  <c r="H97" i="14"/>
  <c r="H34" i="14"/>
  <c r="H66" i="14"/>
  <c r="H43" i="14"/>
  <c r="H89" i="14"/>
  <c r="H80" i="14"/>
  <c r="H30" i="14"/>
  <c r="H58" i="14"/>
  <c r="H88" i="14"/>
  <c r="H47" i="14"/>
  <c r="H87" i="14"/>
  <c r="H55" i="14"/>
  <c r="H29" i="14"/>
  <c r="H32" i="14"/>
  <c r="H82" i="14"/>
  <c r="H86" i="14"/>
  <c r="H59" i="14"/>
  <c r="H39" i="14"/>
  <c r="H31" i="14"/>
  <c r="H81" i="14"/>
  <c r="H79" i="14"/>
  <c r="H52" i="14"/>
  <c r="H36" i="14"/>
  <c r="H77" i="14"/>
  <c r="H40" i="14"/>
  <c r="H98" i="14"/>
  <c r="H100" i="14"/>
  <c r="H42" i="14"/>
  <c r="H105" i="14"/>
  <c r="H61" i="14"/>
  <c r="H94" i="14"/>
  <c r="H75" i="14"/>
  <c r="H78" i="14"/>
  <c r="H85" i="14"/>
  <c r="H44" i="14"/>
  <c r="H23" i="14"/>
  <c r="H38" i="14"/>
  <c r="H69" i="14"/>
  <c r="H90" i="14"/>
  <c r="H96" i="14"/>
  <c r="H68" i="14"/>
  <c r="H41" i="14"/>
  <c r="H57" i="14"/>
  <c r="H63" i="14"/>
  <c r="H102" i="14"/>
  <c r="H28" i="14"/>
  <c r="H54" i="14"/>
  <c r="H60" i="14"/>
  <c r="H65" i="14"/>
  <c r="H95" i="14"/>
  <c r="H49" i="14"/>
  <c r="H99" i="14"/>
  <c r="H74" i="14"/>
  <c r="H84" i="14"/>
  <c r="H25" i="14"/>
  <c r="L14" i="10"/>
  <c r="J16" i="10"/>
  <c r="L16" i="10" s="1"/>
  <c r="D17" i="10"/>
  <c r="L17" i="10" s="1"/>
  <c r="I22" i="1"/>
  <c r="E13" i="10"/>
  <c r="I16" i="10"/>
  <c r="E15" i="10"/>
  <c r="E14" i="10"/>
  <c r="J17" i="10" l="1"/>
  <c r="I24" i="1"/>
  <c r="M14" i="10"/>
  <c r="E16" i="10"/>
  <c r="E17" i="10" s="1"/>
  <c r="F17" i="10"/>
  <c r="G16" i="10"/>
  <c r="H17" i="10"/>
  <c r="I22" i="14" l="1"/>
  <c r="J21" i="14"/>
  <c r="G17" i="10"/>
  <c r="I17" i="10"/>
  <c r="I23" i="14" l="1"/>
  <c r="I24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I35" i="14" s="1"/>
  <c r="I36" i="14" s="1"/>
  <c r="I37" i="14" s="1"/>
  <c r="I38" i="14" s="1"/>
  <c r="I39" i="14" s="1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57" i="14" s="1"/>
  <c r="I58" i="14" s="1"/>
  <c r="I59" i="14" s="1"/>
  <c r="I60" i="14" s="1"/>
  <c r="I61" i="14" s="1"/>
  <c r="I62" i="14" s="1"/>
  <c r="I63" i="14" s="1"/>
  <c r="I64" i="14" s="1"/>
  <c r="I65" i="14" s="1"/>
  <c r="I66" i="14" s="1"/>
  <c r="I67" i="14" s="1"/>
  <c r="I68" i="14" s="1"/>
  <c r="I69" i="14" s="1"/>
  <c r="I70" i="14" s="1"/>
  <c r="I71" i="14" s="1"/>
  <c r="I72" i="14" s="1"/>
  <c r="I73" i="14" s="1"/>
  <c r="I74" i="14" s="1"/>
  <c r="I75" i="14" s="1"/>
  <c r="I76" i="14" s="1"/>
  <c r="I77" i="14" s="1"/>
  <c r="I78" i="14" s="1"/>
  <c r="I79" i="14" s="1"/>
  <c r="I80" i="14" s="1"/>
  <c r="I81" i="14" s="1"/>
  <c r="I82" i="14" s="1"/>
  <c r="I83" i="14" s="1"/>
  <c r="I84" i="14" s="1"/>
  <c r="I85" i="14" s="1"/>
  <c r="I86" i="14" s="1"/>
  <c r="I87" i="14" s="1"/>
  <c r="I88" i="14" s="1"/>
  <c r="I89" i="14" s="1"/>
  <c r="I90" i="14" s="1"/>
  <c r="I91" i="14" s="1"/>
  <c r="I92" i="14" s="1"/>
  <c r="I93" i="14" s="1"/>
  <c r="I94" i="14" s="1"/>
  <c r="I95" i="14" s="1"/>
  <c r="I96" i="14" s="1"/>
  <c r="I97" i="14" s="1"/>
  <c r="I98" i="14" s="1"/>
  <c r="I99" i="14" s="1"/>
  <c r="I100" i="14" s="1"/>
  <c r="I101" i="14" s="1"/>
  <c r="I102" i="14" s="1"/>
  <c r="I103" i="14" s="1"/>
  <c r="I104" i="14" s="1"/>
  <c r="I105" i="14" s="1"/>
  <c r="J22" i="14"/>
  <c r="K16" i="10"/>
  <c r="J23" i="14" l="1"/>
  <c r="K17" i="10"/>
  <c r="M16" i="10"/>
  <c r="J25" i="14" l="1"/>
  <c r="J26" i="14" l="1"/>
  <c r="J27" i="14" l="1"/>
  <c r="J28" i="14" l="1"/>
  <c r="J29" i="14" l="1"/>
  <c r="J30" i="14" l="1"/>
  <c r="J31" i="14" l="1"/>
  <c r="J32" i="14" l="1"/>
  <c r="J33" i="14" l="1"/>
  <c r="J34" i="14" l="1"/>
  <c r="J24" i="14" l="1"/>
  <c r="J35" i="14"/>
  <c r="J36" i="14" l="1"/>
  <c r="J37" i="14" l="1"/>
  <c r="J38" i="14" l="1"/>
  <c r="J39" i="14" l="1"/>
  <c r="J40" i="14" l="1"/>
  <c r="J41" i="14" l="1"/>
  <c r="J42" i="14" l="1"/>
  <c r="J43" i="14" l="1"/>
  <c r="J44" i="14" l="1"/>
  <c r="J45" i="14" l="1"/>
  <c r="J46" i="14" l="1"/>
  <c r="J47" i="14" l="1"/>
  <c r="J48" i="14" l="1"/>
  <c r="J49" i="14" l="1"/>
  <c r="J50" i="14" l="1"/>
  <c r="J51" i="14" l="1"/>
  <c r="J52" i="14" l="1"/>
  <c r="J53" i="14" l="1"/>
  <c r="J54" i="14" l="1"/>
  <c r="J55" i="14" l="1"/>
  <c r="J56" i="14" l="1"/>
  <c r="J57" i="14" l="1"/>
  <c r="J58" i="14" l="1"/>
  <c r="J59" i="14" l="1"/>
  <c r="J60" i="14" l="1"/>
  <c r="J61" i="14" l="1"/>
  <c r="J62" i="14" l="1"/>
  <c r="J63" i="14" l="1"/>
  <c r="J64" i="14" l="1"/>
  <c r="J65" i="14" l="1"/>
  <c r="J66" i="14" l="1"/>
  <c r="J67" i="14" l="1"/>
  <c r="J68" i="14" l="1"/>
  <c r="J69" i="14" l="1"/>
  <c r="J70" i="14" l="1"/>
  <c r="J71" i="14" l="1"/>
  <c r="J72" i="14" l="1"/>
  <c r="J73" i="14" l="1"/>
  <c r="J74" i="14" l="1"/>
  <c r="J75" i="14" l="1"/>
  <c r="J76" i="14" l="1"/>
  <c r="J77" i="14" l="1"/>
  <c r="J78" i="14" l="1"/>
  <c r="J79" i="14" l="1"/>
  <c r="J80" i="14" l="1"/>
  <c r="J81" i="14" l="1"/>
  <c r="J82" i="14" l="1"/>
  <c r="J83" i="14" l="1"/>
  <c r="J84" i="14" l="1"/>
  <c r="J85" i="14" l="1"/>
  <c r="J86" i="14" l="1"/>
  <c r="J87" i="14" l="1"/>
  <c r="J88" i="14" l="1"/>
  <c r="J89" i="14" l="1"/>
  <c r="J90" i="14" l="1"/>
  <c r="J91" i="14" l="1"/>
  <c r="J92" i="14" l="1"/>
  <c r="J93" i="14" l="1"/>
  <c r="J94" i="14" l="1"/>
  <c r="J95" i="14" l="1"/>
  <c r="J96" i="14" l="1"/>
  <c r="J97" i="14" l="1"/>
  <c r="J98" i="14" l="1"/>
  <c r="J99" i="14" l="1"/>
  <c r="J100" i="14" l="1"/>
  <c r="J101" i="14" l="1"/>
  <c r="J102" i="14" l="1"/>
  <c r="J103" i="14" l="1"/>
  <c r="J104" i="14" l="1"/>
  <c r="J105" i="14"/>
</calcChain>
</file>

<file path=xl/sharedStrings.xml><?xml version="1.0" encoding="utf-8"?>
<sst xmlns="http://schemas.openxmlformats.org/spreadsheetml/2006/main" count="2171" uniqueCount="619">
  <si>
    <t>%</t>
  </si>
  <si>
    <t>VALOR</t>
  </si>
  <si>
    <t>ITEM</t>
  </si>
  <si>
    <t>DESCRIÇÃO</t>
  </si>
  <si>
    <t>CUSTO TOTAL</t>
  </si>
  <si>
    <t>OBRA:</t>
  </si>
  <si>
    <t>TOTAL</t>
  </si>
  <si>
    <t>PROPRIETÁRIO:</t>
  </si>
  <si>
    <t>ENDEREÇO:</t>
  </si>
  <si>
    <t>QUANT.</t>
  </si>
  <si>
    <t>ORÇAMENTO SINTÉTICO</t>
  </si>
  <si>
    <t>UNID.</t>
  </si>
  <si>
    <t>CRONOGRAMA FÍSICO - FINANCEIRO</t>
  </si>
  <si>
    <t>UN</t>
  </si>
  <si>
    <t>DADOS DA OBRA</t>
  </si>
  <si>
    <t>MUNICÍPIO:</t>
  </si>
  <si>
    <t>DADOS DO ORÇAMENTO</t>
  </si>
  <si>
    <t>DATA BASE DO ORÇAMENTO:</t>
  </si>
  <si>
    <t>PRAZO DE EXECUÇÃO:</t>
  </si>
  <si>
    <t>REFERÊNCIA:</t>
  </si>
  <si>
    <t>ENCARGOS:</t>
  </si>
  <si>
    <t>REVISÃO:</t>
  </si>
  <si>
    <t>____________________________________________</t>
  </si>
  <si>
    <t>SINAPI-MT</t>
  </si>
  <si>
    <t>DATA BASE:</t>
  </si>
  <si>
    <t>PRAZO DE EXEC.:</t>
  </si>
  <si>
    <t>PREÇO TOTAL</t>
  </si>
  <si>
    <t>REF.</t>
  </si>
  <si>
    <t>CÓD.</t>
  </si>
  <si>
    <t>P. UNIT.</t>
  </si>
  <si>
    <t>P. UNIT. COM BDI</t>
  </si>
  <si>
    <t>P. TOTAL</t>
  </si>
  <si>
    <t>CUSTO TOTAL DO ITEM</t>
  </si>
  <si>
    <t>M</t>
  </si>
  <si>
    <t>COMPOSIÇÕES DE CUSTO UNITÁRIO</t>
  </si>
  <si>
    <t>COMPOSIÇÃO 1</t>
  </si>
  <si>
    <t>INSUMO</t>
  </si>
  <si>
    <t>COMPOSICAO</t>
  </si>
  <si>
    <t>H</t>
  </si>
  <si>
    <t>COMPOSIÇÃO 2</t>
  </si>
  <si>
    <t xml:space="preserve">% </t>
  </si>
  <si>
    <t>% EXEC.</t>
  </si>
  <si>
    <t>COMPOSIÇÃO DA PARCELA DE BDI (SERVIÇOS)</t>
  </si>
  <si>
    <t>BDI (SERVIÇOS):</t>
  </si>
  <si>
    <t>ITENS RELATIVOS À ADMINISTRAÇÃO CENTRAL</t>
  </si>
  <si>
    <t>% SOBRE PV</t>
  </si>
  <si>
    <t>AC - Administração Central</t>
  </si>
  <si>
    <t>DF - Custos Financeiros</t>
  </si>
  <si>
    <t>R - Riscos</t>
  </si>
  <si>
    <t>L - Lucro Bruto</t>
  </si>
  <si>
    <t>Subtotal</t>
  </si>
  <si>
    <t>F - PIS</t>
  </si>
  <si>
    <t>G - COFINS</t>
  </si>
  <si>
    <t>TAXAS E IMPOSTOS</t>
  </si>
  <si>
    <t>BDI COM IMPOSTOS</t>
  </si>
  <si>
    <t>COMPLEMENTAÇÃO DA OBRA</t>
  </si>
  <si>
    <t>TOTAL GERAL COM BDI</t>
  </si>
  <si>
    <t>TOTAL GERAL DA OBRA</t>
  </si>
  <si>
    <t>TOTAL ACUMULADO</t>
  </si>
  <si>
    <t>RESPONSÁVEL TÉCNICO</t>
  </si>
  <si>
    <t>AUXILIAR DE ELETRICISTA COM ENCARGOS COMPLEMENTARES</t>
  </si>
  <si>
    <t>ELETRICISTA COM ENCARGOS COMPLEMENTARES</t>
  </si>
  <si>
    <t>MAPA DE COTAÇÃO</t>
  </si>
  <si>
    <t>C001</t>
  </si>
  <si>
    <t>UNIDADE</t>
  </si>
  <si>
    <t>EMPRESA 01</t>
  </si>
  <si>
    <t>EMPRESA 02</t>
  </si>
  <si>
    <t>EMPRESA 03</t>
  </si>
  <si>
    <t>VALOR MÉDIO</t>
  </si>
  <si>
    <t>COTAÇÃO</t>
  </si>
  <si>
    <t>COMPOSIÇÃO 3</t>
  </si>
  <si>
    <t>COMPOSIÇÃO 4</t>
  </si>
  <si>
    <t>SERVIÇOS PRELIMINARES/ADMINISTRAÇÃO DE OBRA</t>
  </si>
  <si>
    <t>M2</t>
  </si>
  <si>
    <t>KG</t>
  </si>
  <si>
    <t>ADMINISTRAÇÃO DE OBRAS</t>
  </si>
  <si>
    <t>*COMPOSIÇÃO PRÓPRIA</t>
  </si>
  <si>
    <t>COMPOSIÇÃO</t>
  </si>
  <si>
    <t>CREA-MT</t>
  </si>
  <si>
    <t>-</t>
  </si>
  <si>
    <t>M3</t>
  </si>
  <si>
    <t>*COMPOSIÇÃO BASEADA NO CÓDIGO 74209/1 - SINAPI/MT - JAN/2020</t>
  </si>
  <si>
    <t>PREGO DE ACO POLIDO COM CABECA 18 X 30 (2 3/4 X 10)</t>
  </si>
  <si>
    <t>CARPINTEIRO DE FORMAS COM ENCARGOS COMPLEMENTARES</t>
  </si>
  <si>
    <t>SERVENTE COM ENCARGOS COMPLEMENTARES</t>
  </si>
  <si>
    <t>COMPOSIÇÃO 18</t>
  </si>
  <si>
    <t>COMPOSIÇÃO 19</t>
  </si>
  <si>
    <t>COMPOSIÇÃO 21</t>
  </si>
  <si>
    <t>COMPOSIÇÃO 22</t>
  </si>
  <si>
    <t>MÊS 01</t>
  </si>
  <si>
    <t>MÊS 02</t>
  </si>
  <si>
    <t>MÊS 03</t>
  </si>
  <si>
    <t>3.1</t>
  </si>
  <si>
    <t>1.1</t>
  </si>
  <si>
    <t>% ACUMULADA</t>
  </si>
  <si>
    <t>SG - Seguros e Garantias Contratuais</t>
  </si>
  <si>
    <t>H - ISSQN</t>
  </si>
  <si>
    <t>Desonerado</t>
  </si>
  <si>
    <t>COMPOSIÇÃO 20</t>
  </si>
  <si>
    <t>C004</t>
  </si>
  <si>
    <t>C005</t>
  </si>
  <si>
    <t>C006</t>
  </si>
  <si>
    <t>C007</t>
  </si>
  <si>
    <t>C008</t>
  </si>
  <si>
    <t>C009</t>
  </si>
  <si>
    <t>C010</t>
  </si>
  <si>
    <t>ENGENHEIRO ELETRICISTA COM ENCARGOS COMPLEMENTARES</t>
  </si>
  <si>
    <t>MÊS</t>
  </si>
  <si>
    <t>PLACA DE OBRA EM CHAPA DE ACO GALVANIZADO (1,50 X 1,50 M)</t>
  </si>
  <si>
    <t>COMPOSIÇÃO 23</t>
  </si>
  <si>
    <t>COMPOSIÇÃO 24</t>
  </si>
  <si>
    <t>C002</t>
  </si>
  <si>
    <t>C003</t>
  </si>
  <si>
    <t>2.1</t>
  </si>
  <si>
    <t>2.2</t>
  </si>
  <si>
    <t>2.3</t>
  </si>
  <si>
    <t>COMPOSIÇÃO 38</t>
  </si>
  <si>
    <t>1.3</t>
  </si>
  <si>
    <t>03 meses</t>
  </si>
  <si>
    <t>RESUMO</t>
  </si>
  <si>
    <t xml:space="preserve">UN </t>
  </si>
  <si>
    <t>COMPOSIÇÃO 5</t>
  </si>
  <si>
    <t>COMPOSIÇÃO 6</t>
  </si>
  <si>
    <t>COMPOSIÇÃO 7</t>
  </si>
  <si>
    <t>CURVA 90° HORIZONTAL PERFILADO 38X38MM</t>
  </si>
  <si>
    <t>COMPOSIÇÃO 8</t>
  </si>
  <si>
    <t>COMPOSIÇÃO 9</t>
  </si>
  <si>
    <t>COMPOSIÇÃO 10</t>
  </si>
  <si>
    <t>CURVA 90° HORIZONTAL ELETROCALHA 100X50MM</t>
  </si>
  <si>
    <t>COMPOSIÇÃO 11</t>
  </si>
  <si>
    <t>COMPOSIÇÃO 12</t>
  </si>
  <si>
    <t>COMPOSIÇÃO 13</t>
  </si>
  <si>
    <t>C011</t>
  </si>
  <si>
    <t>COMPOSIÇÃO 14</t>
  </si>
  <si>
    <t>COMPOSIÇÃO 15</t>
  </si>
  <si>
    <t>C012</t>
  </si>
  <si>
    <t>SAÍDA PERFILADO PARA ELETRODUTO 3/4"</t>
  </si>
  <si>
    <t>C013</t>
  </si>
  <si>
    <t>COMPOSIÇÃO 16</t>
  </si>
  <si>
    <t>COMPOSIÇÃO 17</t>
  </si>
  <si>
    <t>C014</t>
  </si>
  <si>
    <t>CHUMBADOR, DIAMETRO 1/4" COM PARAFUSO 1/4" X 40 MM</t>
  </si>
  <si>
    <t>C015</t>
  </si>
  <si>
    <t>VERGALHAO ZINCADO ROSCA TOTAL, 1/4 " (6,3 MM)</t>
  </si>
  <si>
    <t>PORCA ZINCADA, SEXTAVADA, DIAMETRO 1/4"</t>
  </si>
  <si>
    <t>CURVA 90° HORIZONTAL PARA PERFILADO 38X38MM - FORNECIMENTO E INSTALAÇÃO</t>
  </si>
  <si>
    <t>CURVA 90° HORIZONTAL ELETROCALHA 100X50MM - FORNECIMENTO E INSTALAÇÃO</t>
  </si>
  <si>
    <t>SAÍDA PERFILADO PARA ELETRODUTO 3/4" - FORNECIMENTO E INSTALAÇÃO</t>
  </si>
  <si>
    <t>C016</t>
  </si>
  <si>
    <t>C017</t>
  </si>
  <si>
    <t>C018</t>
  </si>
  <si>
    <t>C019</t>
  </si>
  <si>
    <t>C021</t>
  </si>
  <si>
    <t>88247</t>
  </si>
  <si>
    <t>88264</t>
  </si>
  <si>
    <t>C022</t>
  </si>
  <si>
    <t>COMPOSIÇÃO 29</t>
  </si>
  <si>
    <t>COMPOSIÇÃO 25</t>
  </si>
  <si>
    <t>COMPOSIÇÃO 26</t>
  </si>
  <si>
    <t>COMPOSIÇÃO 27</t>
  </si>
  <si>
    <t>COMPOSIÇÃO 28</t>
  </si>
  <si>
    <t>C023</t>
  </si>
  <si>
    <t>COMPOSIÇÃO 30</t>
  </si>
  <si>
    <t>COMPOSIÇÃO 31</t>
  </si>
  <si>
    <t>COMPOSIÇÃO 32</t>
  </si>
  <si>
    <t>COMPOSIÇÃO 33</t>
  </si>
  <si>
    <t>COMPOSIÇÃO 34</t>
  </si>
  <si>
    <t>COMPOSIÇÃO 35</t>
  </si>
  <si>
    <t>COMPOSIÇÃO 36</t>
  </si>
  <si>
    <t>COMPOSIÇÃO 37</t>
  </si>
  <si>
    <t>1.2</t>
  </si>
  <si>
    <t>3.2</t>
  </si>
  <si>
    <t>COMPOSIÇÃO 39</t>
  </si>
  <si>
    <t>ART DE EXECUÇÃO (RESOLUÇÃO 1.066, DE 25/09/2015 (PL 1544/2019)). ENG. ELETRICISTA</t>
  </si>
  <si>
    <t>CURVA ABC</t>
  </si>
  <si>
    <t>CLASSE</t>
  </si>
  <si>
    <t>CPRB - Contribuição Previdenciária - Lei N° 13.161/15</t>
  </si>
  <si>
    <t>PIZZATO</t>
  </si>
  <si>
    <t>(65) 3052-4200</t>
  </si>
  <si>
    <t>ARRUELA LISA, REDONDA, DE LATAO POLIDO, DIAMETRO NOMINAL 5/8", DIAMETRO EXTERNO = 34 MM, DIAMETRO DO FURO = 17 MM, ESPESSURA = *2,5* MM</t>
  </si>
  <si>
    <t>C020</t>
  </si>
  <si>
    <t>C024</t>
  </si>
  <si>
    <t>C025</t>
  </si>
  <si>
    <t>LIMPEZA DE PISO CERÂMICO OU PORCELANATO COM VASSOURA A SECO. AF_04/2019</t>
  </si>
  <si>
    <t>C026</t>
  </si>
  <si>
    <t>COMPOSIÇÃO 40</t>
  </si>
  <si>
    <t>COTELÉTRICA</t>
  </si>
  <si>
    <t>(65) 8477-6805</t>
  </si>
  <si>
    <t>CABEAMENTO</t>
  </si>
  <si>
    <t>91834</t>
  </si>
  <si>
    <t>91836</t>
  </si>
  <si>
    <t>97667</t>
  </si>
  <si>
    <t>UNIDADE DE VENTILAÇÃO - 2 VENTILADORES - DE TETO PARA RACK 19" PRETO</t>
  </si>
  <si>
    <t>UNIDADE DE VENTILAÇÃO - 4 VENTILADORES - DE TETO PARA RACK 19" PRETO</t>
  </si>
  <si>
    <t>RÉGUA DE TOMADAS COM 10 TOMADAS PADRÃO BRASILEIRO PRETA</t>
  </si>
  <si>
    <t>RÉGUA DE TOMADAS COM 10 TOMADAS PADRÃO BRASILEIRO PRETA - FORNECIMENTO E INSTALAÇÃO</t>
  </si>
  <si>
    <t>GUIA DE CABOS FECHADO HORIZONTAL 19"X1U PRETO - FORNECIMENTO E INSTALAÇÃO</t>
  </si>
  <si>
    <t>GUIA DE CABOS FECHADO HORIZONTAL 19"X1U PRETO</t>
  </si>
  <si>
    <t>BANDEJA ESTENDIDA - 1U - GABINETE PADRÃO 19"</t>
  </si>
  <si>
    <t>BANDEJA ESTENDIDA - 1U - GABINETE PADRÃO 19" - FORNECIMENTO E INSTALAÇÃO</t>
  </si>
  <si>
    <t>88316</t>
  </si>
  <si>
    <t>PLACA DE FECHAMENTO CEGA - 1U - GABINETE PADRÃO 19"</t>
  </si>
  <si>
    <t>PLACA DE FECHAMENTO CEGA - 1U - GABINETE PADRÃO 19" - FORNECIMENTO E INSTALAÇÃO</t>
  </si>
  <si>
    <t>98302</t>
  </si>
  <si>
    <t>DIO - 6 FIBRAS - SC</t>
  </si>
  <si>
    <t>DIO - 48 FIBRAS - SC</t>
  </si>
  <si>
    <t>DIO 19" 48FO MÍNIMO - MONOMODO-  COM CONECTOR SC - FORNECIMENTO E INSTALAÇÃO</t>
  </si>
  <si>
    <t>MÓDULO GBIC SFP - BI-DIRECIONAL</t>
  </si>
  <si>
    <t>MÓDULO GBIC SFP - BI-DIRECIONAL - FORNECIMENTO E INSTALAÇÃO</t>
  </si>
  <si>
    <t>PATCH CORD, CATEGORIA 6, EXTENSAO DE 2,50 M - FORNECIMENTO E INSTALAÇÃO</t>
  </si>
  <si>
    <t>FIBRA ÓPTICA - 6FO - MONOMODO</t>
  </si>
  <si>
    <t>FIBRA ÓPTICA - 6FO - MONOMODO - FORNECIMENTO E INSTALAÇÃO</t>
  </si>
  <si>
    <t>FIBRA ÓPTICA - 48FO - MONOMODO - FORNECIMENTO E INSTALAÇÃO</t>
  </si>
  <si>
    <t>FIBRA ÓPTICA - 48FO - MONOMODO</t>
  </si>
  <si>
    <t>PIGTAIL - CONECTOR SC - 1,5M</t>
  </si>
  <si>
    <t>PIGTAIL - CONECTOR SC - 1,5M - FORNECIMENTO E INSTALAÇÃO</t>
  </si>
  <si>
    <t>RACK</t>
  </si>
  <si>
    <t>CFTV</t>
  </si>
  <si>
    <t>SENAR/MT</t>
  </si>
  <si>
    <t>Cuiabá/MT</t>
  </si>
  <si>
    <t>Lucas Silva Costa</t>
  </si>
  <si>
    <t>Engenheiro Civil e Eletricista</t>
  </si>
  <si>
    <t>CREA - MT029137</t>
  </si>
  <si>
    <t>MONITOR LED 18,5", HD, WIDESCREEN - COM ENTRADA HDMI - FORNECIMENTO E INSTALAÇÃO</t>
  </si>
  <si>
    <t>MONITOR LED 18,5", HD, WIDESCREEN - COM ENTRADA HDMI</t>
  </si>
  <si>
    <t>GRAVADOR DE VÍDEO NVR 32 CANAIS - RESOLUÇÃO DE GRAVAÇÃO 8MP(4K) - 8HD'S - REF. INTELBRAS NVD 7132 - FORNECIMENTO E INSTALAÇÃO</t>
  </si>
  <si>
    <t>GRAVADOR DE VÍDEO NVR 32 CANAIS - RESOLUÇÃO DE GRAVAÇÃO 8MP(4K) - 8HD'S - REF. INTELBRAS NVD 7132</t>
  </si>
  <si>
    <t>HD DE 4TB - COMPATÍVEL COM NVR - REF. SEAGATE ST4000VX000 - FORNECIMENTO E INSTALAÇÃO</t>
  </si>
  <si>
    <t xml:space="preserve">HD DE 4TB - COMPATÍVEL COM NVR - REF. SEAGATE ST4000VX000 </t>
  </si>
  <si>
    <t>GANCHO CURTO PARA PERFILADO 44X32MM</t>
  </si>
  <si>
    <t>GANCHO CURTO PARA PERFILADO 44X32MM - FORNECIMENTO E INSTALAÇÃO</t>
  </si>
  <si>
    <t>TALA PLANA PERFURADA 38MM</t>
  </si>
  <si>
    <t>TALA PLANA PERFURADA 38MM - FORNECIMENTO E INSTALAÇÃO</t>
  </si>
  <si>
    <t>TERMINAL 38X38MM</t>
  </si>
  <si>
    <t>TERMINAL 38X38MM - FORNECIMENTO E INSTALAÇÃO</t>
  </si>
  <si>
    <t>SUSPENSÃO BAIXA PARA TIRANTE - 38MM</t>
  </si>
  <si>
    <t>FIXAÇÃO DE PERFILADO 38X38, EM LAJE, COM BARRA ROSCADA - FORNECIMENTO E INSTALAÇÃO</t>
  </si>
  <si>
    <t>FIXAÇÃO DE ELETROCALHA 100X50, EM LAJE, COM BARRA ROSCADA - FORNECIMENTO E INSTALAÇÃO</t>
  </si>
  <si>
    <t>PERFILADO GALVANIZADO À FOGO 38X38X6000MM - FORNECIMENTO E INSTALAÇÃO</t>
  </si>
  <si>
    <t>FIXAÇÃO DE ELETROCALHA 200X50, EM LAJE, COM BARRA ROSCADA - FORNECIMENTO E INSTALAÇÃO</t>
  </si>
  <si>
    <t>FIXAÇÃO DE ELETROCALHA 200X100, EM LAJE, COM BARRA ROSCADA - FORNECIMENTO E INSTALAÇÃO</t>
  </si>
  <si>
    <t>ELETROCALHA METÁLICA PERFURADA TIPO U 100X50MM</t>
  </si>
  <si>
    <t>ELETROCALHA METÁLICA PERFURADA TIPO U 200X50MM</t>
  </si>
  <si>
    <t>ELETROCALHA METÁLICA PERFURADA TIPO U 200X100MM</t>
  </si>
  <si>
    <t>ELETROCALHA METÁLICA PERFURADA TIPO U 100X50MM - FORNECIMENTO E INSTALAÇÃO</t>
  </si>
  <si>
    <t>ELETROCALHA METÁLICA PERFURADA TIPO U 200X50MM - FORNECIMENTO E INSTALAÇÃO</t>
  </si>
  <si>
    <t>ELETROCALHA METÁLICA PERFURADA TIPO U 200X100MM  - FORNECIMENTO E INSTALAÇÃO</t>
  </si>
  <si>
    <t>TALA PLANA PERFURADA 50MM - FORNECIMENTO E INSTALAÇÃO</t>
  </si>
  <si>
    <t>TALA PLANA PERFURADA 50MM</t>
  </si>
  <si>
    <t>TALA PLANA PERFURADA 100MM</t>
  </si>
  <si>
    <t>TALA PLANA PERFURADA 10MM - FORNECIMENTO E INSTALAÇÃO</t>
  </si>
  <si>
    <t>"T" HORIZONTAL  200X50MM PARA ELETROCALHA  - FORNECIMENTO E INSTALAÇÃO</t>
  </si>
  <si>
    <t>"T" HORIZONTAL  200X100MM PARA ELETROCALHA  - FORNECIMENTO E INSTALAÇÃO</t>
  </si>
  <si>
    <t>"T" HORIZONTAL 90° - 200X100MM</t>
  </si>
  <si>
    <t xml:space="preserve">"T" VERTICAL SUBIDA 90° - 200X50MM </t>
  </si>
  <si>
    <t>"T" HORIZONTAL 90° - 200X50MM</t>
  </si>
  <si>
    <t>"T" VERTICAL SUBIDA 90° - 200X50MM - FORNECIMENTO E INSTALAÇÃO</t>
  </si>
  <si>
    <t>CURVA 90° HORIZONTAL ELETROCALHA 200X50MM - FORNECIMENTO E INSTALAÇÃO</t>
  </si>
  <si>
    <t>CURVA 90° HORIZONTAL ELETROCALHA 200X50MM</t>
  </si>
  <si>
    <t xml:space="preserve">CURVA VERTICAL EXTERNA 90° - 200X50MM </t>
  </si>
  <si>
    <t>CURVA VERTICAL EXTERNA 90° - 200X50MM - FORNECIMENTO E INSTALAÇÃO</t>
  </si>
  <si>
    <t>CURVA VERTICAL EXTERNA 90° - 200X100MM - FORNECIMENTO E INSTALAÇÃO</t>
  </si>
  <si>
    <t xml:space="preserve">CURVA VERTICAL EXTERNA 90° - 200X100MM </t>
  </si>
  <si>
    <t>SAÍDA ELETROCALHA PARA ELETRODUTO  3/4"</t>
  </si>
  <si>
    <t>SAÍDA ELETROCALHA PARA ELETRODUTO  3/4" - FORNECIMENTO E INSTALAÇÃO</t>
  </si>
  <si>
    <t>ACOPLAMENTO LATERAL SIMPLES ELETROCALHA P/ PERFILADO 38X38MM</t>
  </si>
  <si>
    <t>ACOPLAMENTO LATERAL SIMPLES ELETROCALHA P/ PERFILADO 38X38MM - FORNECIMENTO E INSTALAÇÃO</t>
  </si>
  <si>
    <t>CANALETA DE ALUMÍNIO - 73X25MM</t>
  </si>
  <si>
    <t>CANALETA DE ALUMÍNIO COM TAMPA - 73X25MM - FORNECIMENTO E INSTALAÇÃO</t>
  </si>
  <si>
    <t>CURVA HORIZONTAL 90° PARA CANALETA DE ALUMÍNIO 73X25MM</t>
  </si>
  <si>
    <t>CURVA VERTICAL INTERNA  90° PARA CANALETA DE ALUMÍNIO 73X25MM</t>
  </si>
  <si>
    <t>ADAPTADOR CANALETA DE ALUMÍNIO 73X25MM PARA ELETRODUTO</t>
  </si>
  <si>
    <t>CAIXA DE DERIVAÇÃO PARA CANALETA 73X25MM</t>
  </si>
  <si>
    <t>CURVA HORIZONTAL 90° PARA CANALETA DE ALUMÍNIO 73X25MM - FORNECIMENTO E INSTALAÇÃO</t>
  </si>
  <si>
    <t>CURVA VERTICAL INTERNA  90° PARA CANALETA DE ALUMÍNIO 73X25MM - FORNECIMENTO E INSTALAÇÃO</t>
  </si>
  <si>
    <t>ADAPTADOR CANALETA DE ALUMÍNIO 73X25MM PARA ELETRODUTO - FORNECIMENTO E INSTALAÇÃO</t>
  </si>
  <si>
    <t>CAIXA DE DERIVAÇÃO PARA CANALETA 73X25MM - FORNECIMENTO E INSTALAÇÃO</t>
  </si>
  <si>
    <t>0,2062000</t>
  </si>
  <si>
    <t>PLACA CEGA - PARA CAIXA DE EMBUTIR 4X2"</t>
  </si>
  <si>
    <t>PLACA COM 1 MÓDULO - RJ45 - PARA CAIXA DE EMBUTIR 4X2"</t>
  </si>
  <si>
    <t>PLACA COM 1 MÓDULO - RJ45 - PARA PORTA EQUIPAMENTO DA CANALETA DE ALUMÍNIO</t>
  </si>
  <si>
    <t>PLACA COM 2 MÓDULOS - RJ45 - PARA PORTA EQUIPAMENTO DA CANALETA DE ALUMÍNIO</t>
  </si>
  <si>
    <t>PLACA CEGA - PARA CAIXA DE EMBUTIR 4X2" - FORNECIMENTO E INSTALAÇÃO</t>
  </si>
  <si>
    <t>PLACA COM 1 MÓDULO - RJ45 - PARA PORTA EQUIPAMENTO DA CANALETA DE ALUMÍNIO - FORNECIMENTO E INSTALAÇÃO</t>
  </si>
  <si>
    <t>PLACA COM 2 MÓDULOS - RJ45 - PARA PORTA EQUIPAMENTO DA CANALETA DE ALUMÍNIO - FORNECIMENTO E INSTALAÇÃO</t>
  </si>
  <si>
    <t>PORTA EQUIPAMENTOS P/ 3 RJ45 - PARA CANALETA DE ALUMÍNIO - FORNECIMENTO E INSTALAÇÃO</t>
  </si>
  <si>
    <t>PORTA EQUIPAMENTOS P/ 3 RJ45 - PARA CANALETA DE ALUMÍNIO</t>
  </si>
  <si>
    <t>CLSEG</t>
  </si>
  <si>
    <t>PLUG MAIS</t>
  </si>
  <si>
    <t>DUTOTEC</t>
  </si>
  <si>
    <t>(27)3281-5065</t>
  </si>
  <si>
    <t>(65) 3648-5700</t>
  </si>
  <si>
    <t>(51)2117-6600</t>
  </si>
  <si>
    <t>MOLDURA TIPO BLOCO P/ RJ45</t>
  </si>
  <si>
    <t>C027</t>
  </si>
  <si>
    <t>C028</t>
  </si>
  <si>
    <t>C029</t>
  </si>
  <si>
    <t>C030</t>
  </si>
  <si>
    <t>C031</t>
  </si>
  <si>
    <t>C032</t>
  </si>
  <si>
    <t>C033</t>
  </si>
  <si>
    <t>C034</t>
  </si>
  <si>
    <t>C035</t>
  </si>
  <si>
    <t>C036</t>
  </si>
  <si>
    <t>C037</t>
  </si>
  <si>
    <t>C038</t>
  </si>
  <si>
    <t>C039</t>
  </si>
  <si>
    <t>C040</t>
  </si>
  <si>
    <t>C041</t>
  </si>
  <si>
    <t>C042</t>
  </si>
  <si>
    <t>C043</t>
  </si>
  <si>
    <t>C044</t>
  </si>
  <si>
    <t>C045</t>
  </si>
  <si>
    <t>C046</t>
  </si>
  <si>
    <t>C047</t>
  </si>
  <si>
    <t>C048</t>
  </si>
  <si>
    <t>C049</t>
  </si>
  <si>
    <t>C050</t>
  </si>
  <si>
    <t>C051</t>
  </si>
  <si>
    <t>C052</t>
  </si>
  <si>
    <t>C053</t>
  </si>
  <si>
    <t>C054</t>
  </si>
  <si>
    <t>C055</t>
  </si>
  <si>
    <t>C056</t>
  </si>
  <si>
    <t>C057</t>
  </si>
  <si>
    <t>C058</t>
  </si>
  <si>
    <t>C059</t>
  </si>
  <si>
    <t>C060</t>
  </si>
  <si>
    <t xml:space="preserve">Rua Eng. Edgard Prado Arze, S/N , Quadra 01 - Setor A, Centro Político Administrativo
</t>
  </si>
  <si>
    <t>88262</t>
  </si>
  <si>
    <t>94962</t>
  </si>
  <si>
    <t>91677</t>
  </si>
  <si>
    <t>COMPOSIÇÃO 41</t>
  </si>
  <si>
    <t>COMPOSIÇÃO 42</t>
  </si>
  <si>
    <t>COMPOSIÇÃO 43</t>
  </si>
  <si>
    <t>COMPOSIÇÃO 44</t>
  </si>
  <si>
    <t>COMPOSIÇÃO 45</t>
  </si>
  <si>
    <t>COMPOSIÇÃO 46</t>
  </si>
  <si>
    <t>COMPOSIÇÃO 47</t>
  </si>
  <si>
    <t>COMPOSIÇÃO 48</t>
  </si>
  <si>
    <t>COMPOSIÇÃO 49</t>
  </si>
  <si>
    <t>COMPOSIÇÃO 50</t>
  </si>
  <si>
    <t>COMPOSIÇÃO 51</t>
  </si>
  <si>
    <t>COMPOSIÇÃO 52</t>
  </si>
  <si>
    <t>COMPOSIÇÃO 53</t>
  </si>
  <si>
    <t>COMPOSIÇÃO 54</t>
  </si>
  <si>
    <t>COMPOSIÇÃO 55</t>
  </si>
  <si>
    <t>COMPOSIÇÃO 56</t>
  </si>
  <si>
    <t>COMPOSIÇÃO 57</t>
  </si>
  <si>
    <t>COMPOSIÇÃO 58</t>
  </si>
  <si>
    <t>COMPOSIÇÃO 59</t>
  </si>
  <si>
    <t>COMPOSIÇÃO 60</t>
  </si>
  <si>
    <t>COMPOSIÇÃO 61</t>
  </si>
  <si>
    <t>COMPOSIÇÃO 62</t>
  </si>
  <si>
    <t>COMPOSIÇÃO 63</t>
  </si>
  <si>
    <t>SARRAFO NAO APARELHADO *2,5 X 7* CM, EM MACARANDUBA, ANGELIM OU EQUIVALENTE DA REGIAO -  BRUTA</t>
  </si>
  <si>
    <t>PONTALETE *7,5 X 7,5* CM EM PINUS, MISTA OU EQUIVALENTE DA REGIAO - BRUTA</t>
  </si>
  <si>
    <t>PLACA DE OBRA (PARA CONSTRUCAO CIVIL) EM CHAPA GALVANIZADA *N. 22*, ADESIVADA, DE *2,0 X 1,125* M (SEM POSTES PARA FIXACAO)</t>
  </si>
  <si>
    <t>CONCRETO MAGRO PARA LASTRO, TRAÇO 1:4,5:4,5 (EM MASSA SECA DE CIMENTO/ AREIA MÉDIA/ BRITA 1) - PREPARO MECÂNICO COM BETONEIRA 400 L. AF_05/2021</t>
  </si>
  <si>
    <t xml:space="preserve">UN    </t>
  </si>
  <si>
    <t>PERFILADO PERFURADO SIMPLES 38 X 38 MM, CHAPA 22</t>
  </si>
  <si>
    <t>CONECTOR FEMEA RJ - 45, CATEGORIA 6</t>
  </si>
  <si>
    <t>PATCH PANEL 24 PORTAS, CATEGORIA 6 - FORNECIMENTO E INSTALAÇÃO. AF_11/2019</t>
  </si>
  <si>
    <t>ELETRODUTO FLEXÍVEL CORRUGADO, PVC, DN 25 MM (3/4"), PARA CIRCUITOS TERMINAIS, INSTALADO EM FORRO - FORNECIMENTO E INSTALAÇÃO. AF_12/2015</t>
  </si>
  <si>
    <t>ELETRODUTO FLEXÍVEL CORRUGADO, PVC, DN 32 MM (1"), PARA CIRCUITOS TERMINAIS, INSTALADO EM FORRO - FORNECIMENTO E INSTALAÇÃO. AF_12/2015</t>
  </si>
  <si>
    <t>ELETRODUTO FLEXÍVEL CORRUGADO, PEAD, DN 50 (1 ½)  - FORNECIMENTO E INSTALAÇÃO. AF_04/2016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</si>
  <si>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</si>
  <si>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</si>
  <si>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</si>
  <si>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</si>
  <si>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</si>
  <si>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</si>
  <si>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</si>
  <si>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</si>
  <si>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2.1.11</t>
  </si>
  <si>
    <t>2.2.1</t>
  </si>
  <si>
    <t>2.2.2</t>
  </si>
  <si>
    <t>2.2.4</t>
  </si>
  <si>
    <t>2.2.5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</si>
  <si>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</si>
  <si>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</si>
  <si>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</si>
  <si>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</si>
  <si>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</si>
  <si>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</si>
  <si>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</si>
  <si>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</si>
  <si>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</si>
  <si>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</si>
  <si>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</si>
  <si>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</si>
  <si>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</si>
  <si>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</si>
  <si>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</si>
  <si>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</si>
  <si>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</si>
  <si>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</si>
  <si>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</si>
  <si>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</si>
  <si>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</si>
  <si>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2.3.23</t>
  </si>
  <si>
    <t>2.3.24</t>
  </si>
  <si>
    <t>2.3.25</t>
  </si>
  <si>
    <t>2.3.26</t>
  </si>
  <si>
    <t>2.3.27</t>
  </si>
  <si>
    <t>2.3.28</t>
  </si>
  <si>
    <t>2.3.29</t>
  </si>
  <si>
    <t>2.3.30</t>
  </si>
  <si>
    <t>2.3.32</t>
  </si>
  <si>
    <t>2.3.33</t>
  </si>
  <si>
    <t>2.3.35</t>
  </si>
  <si>
    <t>2.3.36</t>
  </si>
  <si>
    <t>2.3.37</t>
  </si>
  <si>
    <t>2.3.38</t>
  </si>
  <si>
    <t>2.3.39</t>
  </si>
  <si>
    <t>2.3.40</t>
  </si>
  <si>
    <t>2.3.41</t>
  </si>
  <si>
    <t>2.3.42</t>
  </si>
  <si>
    <t>2.3.43</t>
  </si>
  <si>
    <t>2.3.44</t>
  </si>
  <si>
    <t>2.3.45</t>
  </si>
  <si>
    <t>2.3.46</t>
  </si>
  <si>
    <t>BDI - EQUIPAMENTOS</t>
  </si>
  <si>
    <t>DESPESAS INDIRETAS (EXCETO TRIBUTOS E DESPESAS FINANCEIRAS)</t>
  </si>
  <si>
    <t>AC = taxa representativa das despesas de rateio da Administração Central para obras de até R$ 1.500.000-75000000</t>
  </si>
  <si>
    <t>R = taxa representativa de Riscos; Considerando o mesmo como obras medianas em área e/ou prazo, em condições normais de execução;</t>
  </si>
  <si>
    <t>G = taxa representativa de Garantias;</t>
  </si>
  <si>
    <t>DESPESAS FINANCEIRAS</t>
  </si>
  <si>
    <t>DF = taxa representativa das Despesas Financeiras;</t>
  </si>
  <si>
    <t>TAXA LUCRO</t>
  </si>
  <si>
    <t>L = taxa representativa do Lucro;</t>
  </si>
  <si>
    <t>IMPOSTOS CONSIDERADOS</t>
  </si>
  <si>
    <t>ISSQN</t>
  </si>
  <si>
    <t>COFINS</t>
  </si>
  <si>
    <t>PIS</t>
  </si>
  <si>
    <t>CPRB</t>
  </si>
  <si>
    <t>TOTAL DAS INCIDÊNCIAS DE IMPOSTOS</t>
  </si>
  <si>
    <t xml:space="preserve">Fórmula                          </t>
  </si>
  <si>
    <t>BDI=(((1+AC+R+G)*(1+DF)*(1+L))/(1-I))-1</t>
  </si>
  <si>
    <t>BDI</t>
  </si>
  <si>
    <t>aplicação do percentual em cima do valor obtido</t>
  </si>
  <si>
    <t>OBS: Diante das recomendações do ACÓRDÃO Nº 2622/2013 - TCU, foram adotados os valores médios para o cálculo do BDI reduzido, com exceção do lucro, que foi adotado o mínimo. A base de cálculo foi retirada das tabelas do acórdão, considerando o serviço de construção e manutenção de estações e redes de distribuição de energia elétrica. Os valores detalhados estão apresentados no cálculo acima.</t>
  </si>
  <si>
    <t>BDI (EQUIPAMENTOS):</t>
  </si>
  <si>
    <t>BDI (SERVIÇOS)</t>
  </si>
  <si>
    <t>BDI (EQUIPAMENTOS)</t>
  </si>
  <si>
    <t>REDE DISTRIBUIDORA</t>
  </si>
  <si>
    <t xml:space="preserve"> (65) 3634-6949</t>
  </si>
  <si>
    <t>YAKAO</t>
  </si>
  <si>
    <t>PLUGMAIS</t>
  </si>
  <si>
    <t>(65)3648-3000</t>
  </si>
  <si>
    <t>(65)3648-5700</t>
  </si>
  <si>
    <t>DATAPLUS</t>
  </si>
  <si>
    <t>(65)2123-0909</t>
  </si>
  <si>
    <t>PATCH CORD, CATEGORIA 6, EXTENSAO DE 2,50 M</t>
  </si>
  <si>
    <t>FUSÃO E CERTIFICAÇÃO DE FIBRA ÓPTICA</t>
  </si>
  <si>
    <t>3.3</t>
  </si>
  <si>
    <t>QUANTEX DISTRIBUIDORA</t>
  </si>
  <si>
    <t>(65) 98463-3872</t>
  </si>
  <si>
    <t>ELETROFIOS</t>
  </si>
  <si>
    <t>(65) 98477-4275</t>
  </si>
  <si>
    <t xml:space="preserve">"T" VERTICAL DESCIDA 90° - 200X100MM </t>
  </si>
  <si>
    <t>CÂMERA IP - POE - VIP 3230 B SÉRIE 3000 FULL HD - LENTE 2.8MM</t>
  </si>
  <si>
    <t>CÂMERA IP - POE - VIP 3260 Z FULL HD - ZOOM ÓPTICO 5X - LENTE 2.7MM - WDR REAL (120DB)</t>
  </si>
  <si>
    <t>"T" VERTICAL DESCIDA 90° - 200X50MM - FORNECIMENTO E INSTALAÇÃO</t>
  </si>
  <si>
    <t>2.3.48</t>
  </si>
  <si>
    <t>CÂMERA IP - POE - VIP 3260 Z FULL HD - ZOOM ÓPTICO 5X - LENTE 2.7MM - WDR REAL (120DB) - FORNECIMENTO E INSTALAÇÃO</t>
  </si>
  <si>
    <t>CÂMERA IP - POE - VIP 3230 B SÉRIE 3000 FULL HD - LENTE 2.8MM - FORNECIMENTO E INSTALAÇÃO</t>
  </si>
  <si>
    <t>BRANEL</t>
  </si>
  <si>
    <t xml:space="preserve"> (65) 3027−9053</t>
  </si>
  <si>
    <t>SUPORTE VERTICAL 100X50MM</t>
  </si>
  <si>
    <t>SUPORTE VERTICAL 200X50MM</t>
  </si>
  <si>
    <t>SUPORTE VERTICAL 200X100MM</t>
  </si>
  <si>
    <t>ELETROATIVA</t>
  </si>
  <si>
    <t>(65)3051-7844</t>
  </si>
  <si>
    <t>KADRI</t>
  </si>
  <si>
    <t>(65) 3614-8787</t>
  </si>
  <si>
    <t>( 65) 3321-0009</t>
  </si>
  <si>
    <t>TUDO ELÉTRICA</t>
  </si>
  <si>
    <t>(65) 3321-0009</t>
  </si>
  <si>
    <t>3 M</t>
  </si>
  <si>
    <t>(65) 99990-7209</t>
  </si>
  <si>
    <t>MULTISEG</t>
  </si>
  <si>
    <t>(65) 3054-5595</t>
  </si>
  <si>
    <t>LUIZÃO</t>
  </si>
  <si>
    <t>(65) 3313-7000</t>
  </si>
  <si>
    <t>RACK DE PAREDE 19" 16U X 570MM FECHADO, PORTA ACRÍLICO - FORNECIMENTO E INSTALAÇÃO</t>
  </si>
  <si>
    <t xml:space="preserve">RACK DE PAREDE 19" 16U X 570MM FECHADO, PORTA ACRÍLICO </t>
  </si>
  <si>
    <t>2.1.9</t>
  </si>
  <si>
    <t>2.1.10</t>
  </si>
  <si>
    <t>2.2.3</t>
  </si>
  <si>
    <t>BUCHA DE NYLON SEM ABA S8</t>
  </si>
  <si>
    <t>CURVA 90° VERTICAL INTERNA PARA PERFILADO 38X38MM - FORNECIMENTO E INSTALAÇÃO</t>
  </si>
  <si>
    <t>CURVA 90° VERTICAL EXTERNA PARA PERFILADO 38X38MM - FORNECIMENTO E INSTALAÇÃO</t>
  </si>
  <si>
    <t>CURVA 90° VERTICAL INTERNA PERFILADO 38X38MM</t>
  </si>
  <si>
    <t>CURVA 90° VERTICAL EXTERNA PERFILADO 38X38MM</t>
  </si>
  <si>
    <t>TAMPA PARA CANALETA DE ALUMÍNIO - 73X25MM - REFERÊNCIA TAMPA ITALIANA LISA DUTOTEC</t>
  </si>
  <si>
    <t>ARREMATE DE TAMPA - REFERÊNCIA ARREMATE DE TAMPA LINHA ITALIANA DUTOTEC</t>
  </si>
  <si>
    <t>2.3.31</t>
  </si>
  <si>
    <t>2.3.34</t>
  </si>
  <si>
    <t>2.3.49</t>
  </si>
  <si>
    <t>2.3.50</t>
  </si>
  <si>
    <t>2.3.51</t>
  </si>
  <si>
    <t>2.3.52</t>
  </si>
  <si>
    <t>2.3.53</t>
  </si>
  <si>
    <t>2.3.54</t>
  </si>
  <si>
    <t>93358</t>
  </si>
  <si>
    <t>ESCAVAÇÃO MANUAL DE VALA COM PROFUNDIDADE MENOR OU IGUAL A 1,30 M. AF_02/2021</t>
  </si>
  <si>
    <t>M³</t>
  </si>
  <si>
    <t>96995</t>
  </si>
  <si>
    <t>REATERRO MANUAL APILOADO COM SOQUETE. AF_10/2017</t>
  </si>
  <si>
    <t>90444</t>
  </si>
  <si>
    <t>RASGO EM CONTRAPISO PARA RAMAIS/ DISTRIBUIÇÃO COM DIÂMETROS MENORES OU IGUAIS A 40 MM. AF_05/2015</t>
  </si>
  <si>
    <t>90445</t>
  </si>
  <si>
    <t>RASGO EM CONTRAPISO PARA RAMAIS/ DISTRIBUIÇÃO COM DIÂMETROS MAIORES QUE 40 MM E MENORES OU IGUAIS A 75 MM. AF_05/2015</t>
  </si>
  <si>
    <t xml:space="preserve">90468 </t>
  </si>
  <si>
    <t>CHUMBAMENTO LINEAR EM CONTRAPISO PARA RAMAIS/DISTRIBUIÇÃO COM DIÂMETROS MENORES OU IGUAIS A 40 MM. AF_05/2015</t>
  </si>
  <si>
    <t xml:space="preserve">90469 </t>
  </si>
  <si>
    <t>CHUMBAMENTO LINEAR EM CONTRAPISO PARA RAMAIS/DISTRIBUIÇÃO COM DIÂMETROS MAIORES QUE 40 MM E MENORES OU IGUAIS A 75 MM. AF_05/2015</t>
  </si>
  <si>
    <t xml:space="preserve">90438 </t>
  </si>
  <si>
    <t>FURO EM ALVENARIA PARA DIÂMETROS MAIORES QUE 75 MM. AF_05/2015</t>
  </si>
  <si>
    <t>RACK DE PISO 19" - PORTA ACRÍLICO - 22U X 670MM</t>
  </si>
  <si>
    <t>90443</t>
  </si>
  <si>
    <t>RASGO EM ALVENARIA PARA RAMAIS/ DISTRIBUIÇÃO COM DIAMETROS MENORES OU IGUAIS A 40 MM. AF_05/2015</t>
  </si>
  <si>
    <t>(65)3027-9000</t>
  </si>
  <si>
    <t>RACK DE PISO 19" - PORTA ACRÍLICO - 22U X 670MM - FORNECIMENTO E INSTALAÇÃO</t>
  </si>
  <si>
    <t>FIBRACEM</t>
  </si>
  <si>
    <t>(41) 3661-2550</t>
  </si>
  <si>
    <t>2 388,00</t>
  </si>
  <si>
    <t>FIBRACOM</t>
  </si>
  <si>
    <t>(65) 98151-9090</t>
  </si>
  <si>
    <t>(65) 3321-3284</t>
  </si>
  <si>
    <t>(65) 3025-4300</t>
  </si>
  <si>
    <t>CAIXA DE PASSAGEM, EM PVC, DE 4" X 2", PARA ELETRODUTO FLEXIVEL CORRUGADO</t>
  </si>
  <si>
    <t>TOMADA DE REDE COM 1 MÓDULO - RJ45 - PARA CAIXA DE EMBUTIR 4X2" - FORNECIMENTO E INSTALAÇÃO</t>
  </si>
  <si>
    <t>CONECTOR MACHO RJ - 45, CATEGORIA 6 - FORNECIMENTO E INSTALAÇÃO</t>
  </si>
  <si>
    <t>CONECTOR MACHO RJ - 45, CATEGORIA 6</t>
  </si>
  <si>
    <t>M²</t>
  </si>
  <si>
    <t>*Valores definidos a partir dos limites no Acórdão nº 2.622/2013 - TCU – Plenário
*ISS - Alíquota e base de cálculo definida pela legislação municipal
*PIS/COFINS - Alíquota definida por lei
*Encargos sociais 84,80% (hora)</t>
  </si>
  <si>
    <t>*COMPOSIÇÃO BASEADA NO CÓDIGO 08362 /ORSE - NOVEMBRO/2021-1</t>
  </si>
  <si>
    <t>*COMPOSIÇÃO BASEADA NO CÓDIGO 8460/ORSE - NOVEMBRO/2021-1</t>
  </si>
  <si>
    <t>*COMPOSIÇÃO BASEADA NO CÓDIGO 08362 /ORSE- NOVEMBRO/2021-1</t>
  </si>
  <si>
    <t>*COMPOSIÇÃO BASEADA NO CÓDIGO 11417 /ORSE - NOVEMBRO/2021-1</t>
  </si>
  <si>
    <t>*COMPOSIÇÃO BASEADA NO CÓDIGO 11307 /ORSE - NOVEMBRO/2021-1</t>
  </si>
  <si>
    <t>DIO 19" 6FO MÍNIMO - MONOMODO -  COM CONECTOR SC - FORNECIMENTO E INSTALAÇÃO</t>
  </si>
  <si>
    <t>JAN/2022</t>
  </si>
  <si>
    <t>98297</t>
  </si>
  <si>
    <t>CABO ELETRÔNICO CATEGORIA 6, INSTALADO EM EDIFICAÇÃO INSTITUCIONAL - FORNECIMENTO E INSTALAÇÃO. AF_11/2019</t>
  </si>
  <si>
    <t>2.3.14</t>
  </si>
  <si>
    <t>2.3.47</t>
  </si>
  <si>
    <t>101404</t>
  </si>
  <si>
    <t>*COMPOSIÇÃO BASEADA NO CÓDIGO 12782 /ORSE - NOVEMBRO/2021-1</t>
  </si>
  <si>
    <t>*COMPOSIÇÃO BASEADA NO CÓDIGO 10268/ORSE - NOVEMBRO/2021-1</t>
  </si>
  <si>
    <t>*COMPOSIÇÃO BASEADA NO CÓDIGO 11519/ORSE - NOVEMBRO/2021-1</t>
  </si>
  <si>
    <t>*COMPOSIÇÃO BASEADA NO CÓDIGO 8690/ORSE - NOVEMBRO/2021-1</t>
  </si>
  <si>
    <t>*COMPOSIÇÃO BASEADA NO CÓDIGO 9669/ORSE - NOVEMBRO/2021-1</t>
  </si>
  <si>
    <t>*COMPOSIÇÃO BASEADA NO CÓDIGO 96562 - SINAPI/MT - JANEIRO/2022</t>
  </si>
  <si>
    <t>*COMPOSIÇÃO BASEADA NO CÓDIGO 9526/ORSE - NOVEMBRO/2021-1</t>
  </si>
  <si>
    <t>*COMPOSIÇÃO BASEADA NO CÓDIGO 9539/ORSE - NOVEMBRO/2021-1</t>
  </si>
  <si>
    <t>*COMPOSIÇÃO BASEADA NO CÓDIGO 12556/ORSE - NOVEMBRO/2021-1</t>
  </si>
  <si>
    <t>*COMPOSIÇÃO BASEADA NO CÓDIGO 9988/ORSE - NOVEMBRO/2021-1</t>
  </si>
  <si>
    <t>*COMPOSIÇÃO BASEADA NO CÓDIGO 724/ORSE - NOVEMBRO/2021-1</t>
  </si>
  <si>
    <t>*COMPOSIÇÃO BASEADA NO CÓDIGO 762/ORSE - NOVEMBRO/2021-1</t>
  </si>
  <si>
    <t>*COMPOSIÇÃO BASEADA NO CÓDIGO 7877/ORSE - NOVEMBRO/2021-1</t>
  </si>
  <si>
    <t>*COMPOSIÇÃO BASEADA NO CÓDIGO 10849/ORSE - NOVEMBRO/2021-1</t>
  </si>
  <si>
    <t>*COMPOSIÇÃO BASEADA NO CÓDIGO 10850/ORSE - NOVEMBRO/2021-1</t>
  </si>
  <si>
    <t>*COMPOSIÇÃO BASEADA NO CÓDIGO 10276/ORSE - NOVEMBRO/2021-1</t>
  </si>
  <si>
    <t>*COMPOSIÇÃO BASEADA NO CÓDIGO 10278/ORSE - NOVEMBRO/2021-1</t>
  </si>
  <si>
    <t>*COMPOSIÇÃO BASEADA NO CÓDIGO 10282/ORSE - NOVEMBRO/2021-1</t>
  </si>
  <si>
    <t>*COMPOSIÇÃO BASEADA NO CÓDIGO 98307 - SINAPI/MT - NOVEMBRO/2021-1</t>
  </si>
  <si>
    <t xml:space="preserve">CONECTORIZAÇÃO, FECHAMENTO DE RACK E CERTIFICAÇÃO DE PONTOS DE LÓGICA </t>
  </si>
  <si>
    <t>*COMPOSIÇÃO BASEADA NO CÓDIGO 95802 - SINAPI/MT - JAN/2022</t>
  </si>
  <si>
    <t>CONDULETE DE ALUMINIO TIPO X, PARA ELETRODUTO ROSCAVEL DE 1", COM TAMPA CEGA</t>
  </si>
  <si>
    <t>BUCHA DE NYLON SEM ABA S6, COM PARAFUSO DE 4,20 X 40 MM EM ACO ZINCADO COM</t>
  </si>
  <si>
    <t>*COMPOSIÇÃO BASEADA NO CÓDIGO 95801 - SINAPI/MT - JAN/2022</t>
  </si>
  <si>
    <t>CONDULETE DE ALUMÍNIO, TIPO X, PARA ELETRODUTO DE AÇO GALVANIZADO DN 20 MM (3/4''), APARENTE - FORNECIMENTO E INSTALAÇÃO. AF_11/2016_P</t>
  </si>
  <si>
    <t>TAMPÃO PARA CONDULETE - 3/4"</t>
  </si>
  <si>
    <t>ECONOMIZA CUIABÁ</t>
  </si>
  <si>
    <t>(65) 99609-8381</t>
  </si>
  <si>
    <t>CONECTOR RETO DE ALUMINIO PARA ELETRODUTO DE 3/4", PARA ADAPTAR  ELETRODUTO METALICO FLEXIVEL EM QUADROS ENTRADA DE</t>
  </si>
  <si>
    <t>UNIDUT 3/4" M - FORNECIMENTO E INSTALAÇÃO</t>
  </si>
  <si>
    <t>95749</t>
  </si>
  <si>
    <t>ELETRODUTO DE AÇO GALVANIZADO, CLASSE LEVE, DN 20 MM (3/4), APARENTE , INSTALADO EM PAREDE - FORNECIMENTO E INSTALAÇÃO. AF_11/2016_P</t>
  </si>
  <si>
    <t>95750</t>
  </si>
  <si>
    <t>ELETRODUTO DE AÇO GALVANIZADO, CLASSE LEVE, DN 25 MM (1), APARENTE, INSTALADO EM PAREDE - FORNECIMENTO E INSTALAÇÃO. AF_11/2016_P</t>
  </si>
  <si>
    <t>*COMPOSIÇÃO BASEADA NO CÓDIGO 91916 - SINAPI/MT - JAN/2022</t>
  </si>
  <si>
    <t>CURVA 90 GRAUS DE FERRO GALVANIZADO, COM ROSCA BSP FEMEA, DE 3/4"</t>
  </si>
  <si>
    <t>CURVA 90 GRAUS PARA ELETRODUTO, FERRO GALVANIZADO, DN 25 MM (3/4"), PARA CIRCUITOS TERMINAIS, INSTALADA EM PAREDE - FORNECIMENTO E INSTALAÇÃO. AF_12/2015</t>
  </si>
  <si>
    <t>CURVA 90 GRAUS PARA ELETRODUTO, FERRO GALVANIZADO, DN 25 MM (1"), PARA CIRCUITOS TERMINAIS, INSTALADA EM PAREDE - FORNECIMENTO E INSTALAÇÃO. AF_12/2015</t>
  </si>
  <si>
    <t>CURVA 90 GRAUS DE FERRO GALVANIZADO, COM ROSCA BSP FEMEA, DE 1"</t>
  </si>
  <si>
    <t>97887</t>
  </si>
  <si>
    <t>CAIXA ENTERRADA ELÉTRICA RETANGULAR, EM ALVENARIA COM TIJOLOS CERÂMICOS MACIÇOS, FUNDO COM BRITA, DIMENSÕES INTERNAS: 0,4X0,4X0,4 M. AF_12/2020</t>
  </si>
  <si>
    <t>BR</t>
  </si>
  <si>
    <t>TOMADA DE REDE COM 1 MÓDULO - RJ45 - PARA CONDULETE DE ALUMÍNIO 3/4" - FORNECIMENTO E INSTALAÇÃO</t>
  </si>
  <si>
    <t>*COMPOSIÇÃO BASEADA NO CÓDIGO 98307 - SINAPI/MT - JAN/2022</t>
  </si>
  <si>
    <t>AUXILIAR DE ELETRICISTA COM ENCARGOS COMPLEMENTARES ROSCA SOBERBA, CABECA CHATA E FENDA PHILLIPS</t>
  </si>
  <si>
    <t>TAMPA CEGA EM PVC PARA CONDULETE 4 X 2"</t>
  </si>
  <si>
    <t>CONDULETE DE ALUMÍNIO, TIPO X, PARA ELETRODUTO DE AÇO GALVANIZADO DN 20 MM (3/4''), APARENTE, COM TAMPA CEGA - FORNECIMENTO E INSTALAÇÃO. AF_11/2016_P</t>
  </si>
  <si>
    <t xml:space="preserve"> </t>
  </si>
  <si>
    <t>COMPOSIÇÃO 64</t>
  </si>
  <si>
    <t>COMPOSIÇÃO 65</t>
  </si>
  <si>
    <t>COMPOSIÇÃO 66</t>
  </si>
  <si>
    <t>,</t>
  </si>
  <si>
    <t>INSTALAÇÕES ELÉTRICAS/LÓGICAS</t>
  </si>
  <si>
    <t>REV04</t>
  </si>
  <si>
    <t>C061</t>
  </si>
  <si>
    <t>RACK DE PISO 19" - ABERTO - 44U X 450MM</t>
  </si>
  <si>
    <t>RACK DE PISO 19" - PORTA ACRÍLICO - 44U X 670MM</t>
  </si>
  <si>
    <t>RACK DE PISO 19" - PORTA ACRÍLICO - 44U X 670MM - FORNECIMENTO E INSTALAÇÃO</t>
  </si>
  <si>
    <t>COMPOSIÇÃO 67</t>
  </si>
  <si>
    <t>2.3.55</t>
  </si>
  <si>
    <t>2.3.56</t>
  </si>
  <si>
    <t>2.3.57</t>
  </si>
  <si>
    <t>2.3.58</t>
  </si>
  <si>
    <t>2.3.59</t>
  </si>
  <si>
    <t>2.3.60</t>
  </si>
  <si>
    <t>2.3.61</t>
  </si>
  <si>
    <t>2.3.62</t>
  </si>
  <si>
    <t>RACK DE PISO 19" - ABERTO - 44U X 450MM - FORNECIMENTO E INSTALAÇÃO</t>
  </si>
  <si>
    <t>2.1.12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</si>
</sst>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00"/>
    <numFmt numFmtId="167" formatCode="&quot;R$&quot;\ #,##0.00"/>
    <numFmt numFmtId="168" formatCode="&quot;R$ &quot;#,##0.00"/>
    <numFmt numFmtId="169" formatCode="_(* #,##0.00_);_(* \(#,##0.00\);_(* \-??_);_(@_)"/>
    <numFmt numFmtId="170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u/>
      <sz val="8.5"/>
      <color theme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169" fontId="2" fillId="0" borderId="0" applyBorder="0" applyProtection="0"/>
  </cellStyleXfs>
  <cellXfs count="437">
    <xf numFmtId="0" fontId="0" fillId="0" borderId="0" xfId="0"/>
    <xf numFmtId="0" fontId="4" fillId="0" borderId="0" xfId="0" applyFont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4" fillId="0" borderId="0" xfId="1" applyFont="1" applyBorder="1" applyAlignment="1">
      <alignment vertical="center"/>
    </xf>
    <xf numFmtId="44" fontId="4" fillId="0" borderId="13" xfId="1" applyFont="1" applyBorder="1" applyAlignment="1">
      <alignment vertical="center"/>
    </xf>
    <xf numFmtId="44" fontId="4" fillId="0" borderId="0" xfId="1" applyFont="1" applyAlignment="1">
      <alignment vertical="center"/>
    </xf>
    <xf numFmtId="0" fontId="10" fillId="0" borderId="0" xfId="15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0" fontId="11" fillId="0" borderId="10" xfId="2" applyNumberFormat="1" applyFont="1" applyBorder="1" applyAlignment="1">
      <alignment horizontal="left" vertical="center"/>
    </xf>
    <xf numFmtId="0" fontId="11" fillId="0" borderId="10" xfId="15" applyNumberFormat="1" applyFont="1" applyBorder="1" applyAlignment="1">
      <alignment horizontal="right" vertical="center"/>
    </xf>
    <xf numFmtId="0" fontId="10" fillId="0" borderId="10" xfId="15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0" fontId="11" fillId="0" borderId="0" xfId="2" applyNumberFormat="1" applyFont="1" applyBorder="1" applyAlignment="1">
      <alignment horizontal="left" vertical="center"/>
    </xf>
    <xf numFmtId="0" fontId="11" fillId="0" borderId="0" xfId="15" applyNumberFormat="1" applyFont="1" applyBorder="1" applyAlignment="1">
      <alignment horizontal="right" vertical="center"/>
    </xf>
    <xf numFmtId="17" fontId="11" fillId="0" borderId="0" xfId="15" applyNumberFormat="1" applyFont="1" applyBorder="1" applyAlignment="1">
      <alignment horizontal="left" vertical="center"/>
    </xf>
    <xf numFmtId="0" fontId="11" fillId="0" borderId="0" xfId="15" applyNumberFormat="1" applyFont="1" applyBorder="1" applyAlignment="1">
      <alignment horizontal="left" vertical="center"/>
    </xf>
    <xf numFmtId="44" fontId="3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4" fontId="4" fillId="0" borderId="5" xfId="1" applyFont="1" applyBorder="1" applyAlignment="1">
      <alignment vertical="center"/>
    </xf>
    <xf numFmtId="0" fontId="4" fillId="0" borderId="5" xfId="4" applyFont="1" applyFill="1" applyBorder="1" applyAlignment="1" applyProtection="1">
      <alignment horizontal="left" vertical="center" wrapText="1"/>
      <protection locked="0"/>
    </xf>
    <xf numFmtId="44" fontId="4" fillId="0" borderId="4" xfId="1" applyFont="1" applyBorder="1" applyAlignment="1">
      <alignment vertical="center"/>
    </xf>
    <xf numFmtId="44" fontId="4" fillId="0" borderId="12" xfId="1" applyFont="1" applyBorder="1" applyAlignment="1">
      <alignment vertical="center"/>
    </xf>
    <xf numFmtId="44" fontId="4" fillId="0" borderId="20" xfId="1" applyFont="1" applyBorder="1" applyAlignment="1">
      <alignment vertical="center"/>
    </xf>
    <xf numFmtId="166" fontId="4" fillId="0" borderId="5" xfId="0" applyNumberFormat="1" applyFont="1" applyBorder="1" applyAlignment="1">
      <alignment horizontal="center" vertical="center"/>
    </xf>
    <xf numFmtId="44" fontId="4" fillId="0" borderId="9" xfId="1" applyFont="1" applyBorder="1" applyAlignment="1">
      <alignment vertical="center"/>
    </xf>
    <xf numFmtId="44" fontId="4" fillId="0" borderId="6" xfId="1" applyFont="1" applyBorder="1" applyAlignment="1">
      <alignment vertical="center"/>
    </xf>
    <xf numFmtId="0" fontId="11" fillId="0" borderId="9" xfId="15" applyNumberFormat="1" applyFont="1" applyBorder="1" applyAlignment="1">
      <alignment horizontal="left" vertical="center"/>
    </xf>
    <xf numFmtId="0" fontId="11" fillId="0" borderId="6" xfId="15" applyNumberFormat="1" applyFont="1" applyBorder="1" applyAlignment="1">
      <alignment horizontal="left" vertical="center"/>
    </xf>
    <xf numFmtId="44" fontId="4" fillId="0" borderId="14" xfId="1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2" borderId="5" xfId="1" applyFont="1" applyFill="1" applyBorder="1" applyAlignment="1">
      <alignment vertical="center"/>
    </xf>
    <xf numFmtId="10" fontId="3" fillId="2" borderId="12" xfId="2" applyNumberFormat="1" applyFont="1" applyFill="1" applyBorder="1" applyAlignment="1">
      <alignment vertical="center"/>
    </xf>
    <xf numFmtId="10" fontId="3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0" xfId="0" applyNumberFormat="1" applyFont="1" applyFill="1" applyBorder="1" applyAlignment="1">
      <alignment horizontal="center" vertical="center"/>
    </xf>
    <xf numFmtId="0" fontId="3" fillId="5" borderId="0" xfId="0" applyNumberFormat="1" applyFont="1" applyFill="1" applyBorder="1" applyAlignment="1">
      <alignment horizontal="left" vertical="center"/>
    </xf>
    <xf numFmtId="0" fontId="3" fillId="5" borderId="0" xfId="0" applyNumberFormat="1" applyFont="1" applyFill="1" applyBorder="1" applyAlignment="1">
      <alignment vertical="center"/>
    </xf>
    <xf numFmtId="0" fontId="18" fillId="6" borderId="12" xfId="6" applyNumberFormat="1" applyFont="1" applyFill="1" applyBorder="1" applyAlignment="1">
      <alignment horizontal="center" vertical="center" wrapText="1"/>
    </xf>
    <xf numFmtId="0" fontId="18" fillId="6" borderId="12" xfId="6" applyNumberFormat="1" applyFont="1" applyFill="1" applyBorder="1" applyAlignment="1">
      <alignment horizontal="center" vertical="center"/>
    </xf>
    <xf numFmtId="0" fontId="18" fillId="6" borderId="12" xfId="19" applyNumberFormat="1" applyFont="1" applyFill="1" applyBorder="1" applyAlignment="1">
      <alignment horizontal="center" vertical="center"/>
    </xf>
    <xf numFmtId="4" fontId="18" fillId="6" borderId="12" xfId="6" applyNumberFormat="1" applyFont="1" applyFill="1" applyBorder="1" applyAlignment="1">
      <alignment horizontal="center" vertical="center"/>
    </xf>
    <xf numFmtId="4" fontId="18" fillId="6" borderId="12" xfId="19" applyNumberFormat="1" applyFont="1" applyFill="1" applyBorder="1" applyAlignment="1">
      <alignment horizontal="center" vertical="center"/>
    </xf>
    <xf numFmtId="0" fontId="18" fillId="6" borderId="20" xfId="6" applyNumberFormat="1" applyFont="1" applyFill="1" applyBorder="1" applyAlignment="1">
      <alignment horizontal="center" vertical="center"/>
    </xf>
    <xf numFmtId="0" fontId="3" fillId="5" borderId="6" xfId="0" applyNumberFormat="1" applyFont="1" applyFill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1" fontId="4" fillId="0" borderId="5" xfId="4" applyNumberFormat="1" applyFont="1" applyFill="1" applyBorder="1" applyAlignment="1" applyProtection="1">
      <alignment horizontal="left" vertical="center" wrapText="1"/>
      <protection locked="0"/>
    </xf>
    <xf numFmtId="168" fontId="3" fillId="0" borderId="0" xfId="22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0" xfId="21" applyNumberFormat="1" applyFont="1" applyFill="1" applyBorder="1" applyAlignment="1">
      <alignment horizontal="center" vertical="center" wrapText="1"/>
    </xf>
    <xf numFmtId="49" fontId="11" fillId="0" borderId="6" xfId="15" applyNumberFormat="1" applyFont="1" applyBorder="1" applyAlignment="1">
      <alignment horizontal="left" vertical="center"/>
    </xf>
    <xf numFmtId="49" fontId="11" fillId="0" borderId="6" xfId="0" applyNumberFormat="1" applyFont="1" applyBorder="1"/>
    <xf numFmtId="0" fontId="0" fillId="0" borderId="8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horizontal="left" vertical="center" wrapText="1"/>
      <protection locked="0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5" fillId="3" borderId="5" xfId="17" applyFont="1" applyFill="1" applyBorder="1" applyAlignment="1">
      <alignment horizontal="center" vertical="center"/>
    </xf>
    <xf numFmtId="0" fontId="15" fillId="3" borderId="18" xfId="17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vertical="center"/>
    </xf>
    <xf numFmtId="10" fontId="3" fillId="2" borderId="5" xfId="2" applyNumberFormat="1" applyFont="1" applyFill="1" applyBorder="1" applyAlignment="1">
      <alignment vertical="center"/>
    </xf>
    <xf numFmtId="0" fontId="4" fillId="0" borderId="5" xfId="21" applyFont="1" applyFill="1" applyBorder="1" applyAlignment="1">
      <alignment horizontal="center" vertical="center" wrapText="1"/>
    </xf>
    <xf numFmtId="168" fontId="3" fillId="0" borderId="12" xfId="22" applyNumberFormat="1" applyFont="1" applyFill="1" applyBorder="1" applyAlignment="1">
      <alignment horizontal="center" vertical="center" wrapText="1"/>
    </xf>
    <xf numFmtId="0" fontId="4" fillId="0" borderId="18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" fontId="4" fillId="0" borderId="0" xfId="21" applyNumberFormat="1" applyFont="1" applyFill="1" applyBorder="1" applyAlignment="1">
      <alignment horizontal="center" vertical="center" wrapText="1"/>
    </xf>
    <xf numFmtId="168" fontId="3" fillId="0" borderId="0" xfId="22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10" fontId="20" fillId="0" borderId="0" xfId="2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7" xfId="4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Font="1" applyFill="1" applyBorder="1" applyAlignment="1">
      <alignment vertical="center"/>
    </xf>
    <xf numFmtId="1" fontId="4" fillId="0" borderId="7" xfId="20" applyNumberFormat="1" applyFont="1" applyFill="1" applyBorder="1" applyAlignment="1" applyProtection="1">
      <alignment horizontal="center" vertical="center" wrapText="1"/>
    </xf>
    <xf numFmtId="167" fontId="3" fillId="0" borderId="6" xfId="6" applyNumberFormat="1" applyFont="1" applyFill="1" applyBorder="1" applyAlignment="1">
      <alignment horizontal="center" vertical="center"/>
    </xf>
    <xf numFmtId="0" fontId="4" fillId="0" borderId="19" xfId="4" applyNumberFormat="1" applyFont="1" applyFill="1" applyBorder="1" applyAlignment="1" applyProtection="1">
      <alignment horizontal="center" vertical="center" wrapText="1"/>
      <protection locked="0"/>
    </xf>
    <xf numFmtId="44" fontId="4" fillId="0" borderId="12" xfId="1" applyFont="1" applyFill="1" applyBorder="1" applyAlignment="1">
      <alignment vertical="center"/>
    </xf>
    <xf numFmtId="1" fontId="4" fillId="0" borderId="5" xfId="4" applyNumberFormat="1" applyFont="1" applyFill="1" applyBorder="1" applyAlignment="1" applyProtection="1">
      <alignment horizontal="left" vertical="top" wrapText="1"/>
      <protection locked="0"/>
    </xf>
    <xf numFmtId="1" fontId="4" fillId="0" borderId="5" xfId="4" applyNumberFormat="1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" fontId="4" fillId="0" borderId="12" xfId="4" applyNumberFormat="1" applyFont="1" applyFill="1" applyBorder="1" applyAlignment="1" applyProtection="1">
      <alignment horizontal="left" vertical="center" wrapText="1"/>
      <protection locked="0"/>
    </xf>
    <xf numFmtId="0" fontId="3" fillId="6" borderId="15" xfId="0" applyFont="1" applyFill="1" applyBorder="1" applyAlignment="1">
      <alignment horizontal="center" vertical="center"/>
    </xf>
    <xf numFmtId="44" fontId="3" fillId="6" borderId="17" xfId="1" applyFont="1" applyFill="1" applyBorder="1" applyAlignment="1">
      <alignment horizontal="center" vertical="center"/>
    </xf>
    <xf numFmtId="1" fontId="0" fillId="0" borderId="0" xfId="0" applyNumberFormat="1"/>
    <xf numFmtId="2" fontId="4" fillId="0" borderId="12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vertical="center"/>
    </xf>
    <xf numFmtId="10" fontId="4" fillId="0" borderId="4" xfId="2" applyNumberFormat="1" applyFont="1" applyFill="1" applyBorder="1" applyAlignment="1">
      <alignment horizontal="center" vertical="center"/>
    </xf>
    <xf numFmtId="10" fontId="20" fillId="5" borderId="0" xfId="0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Alignment="1">
      <alignment vertical="center" wrapText="1"/>
    </xf>
    <xf numFmtId="10" fontId="20" fillId="5" borderId="0" xfId="2" applyNumberFormat="1" applyFont="1" applyFill="1" applyAlignment="1">
      <alignment vertical="center"/>
    </xf>
    <xf numFmtId="10" fontId="20" fillId="5" borderId="0" xfId="2" applyNumberFormat="1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horizontal="left" vertical="center" wrapText="1"/>
    </xf>
    <xf numFmtId="0" fontId="15" fillId="3" borderId="5" xfId="17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0" fontId="4" fillId="0" borderId="5" xfId="2" applyNumberFormat="1" applyFont="1" applyBorder="1" applyAlignment="1">
      <alignment vertical="center"/>
    </xf>
    <xf numFmtId="10" fontId="4" fillId="0" borderId="5" xfId="1" applyNumberFormat="1" applyFont="1" applyBorder="1" applyAlignment="1">
      <alignment vertical="center"/>
    </xf>
    <xf numFmtId="44" fontId="4" fillId="0" borderId="0" xfId="1" applyFont="1" applyFill="1" applyAlignment="1">
      <alignment vertical="center"/>
    </xf>
    <xf numFmtId="10" fontId="4" fillId="0" borderId="0" xfId="2" applyNumberFormat="1" applyFont="1" applyFill="1" applyAlignment="1">
      <alignment vertical="center"/>
    </xf>
    <xf numFmtId="0" fontId="4" fillId="0" borderId="0" xfId="0" applyFont="1" applyAlignment="1">
      <alignment vertical="center" wrapText="1"/>
    </xf>
    <xf numFmtId="44" fontId="20" fillId="0" borderId="0" xfId="1" applyFont="1" applyFill="1" applyAlignment="1">
      <alignment vertical="center"/>
    </xf>
    <xf numFmtId="0" fontId="20" fillId="0" borderId="0" xfId="0" applyFont="1" applyAlignment="1">
      <alignment vertical="center" wrapText="1"/>
    </xf>
    <xf numFmtId="44" fontId="20" fillId="0" borderId="0" xfId="1" applyFont="1" applyFill="1" applyBorder="1" applyAlignment="1">
      <alignment vertical="center"/>
    </xf>
    <xf numFmtId="0" fontId="15" fillId="0" borderId="5" xfId="17" applyNumberFormat="1" applyFont="1" applyFill="1" applyBorder="1" applyAlignment="1">
      <alignment horizontal="center" vertical="center"/>
    </xf>
    <xf numFmtId="166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15" fillId="3" borderId="5" xfId="17" applyNumberFormat="1" applyFont="1" applyFill="1" applyBorder="1" applyAlignment="1">
      <alignment horizontal="center" vertical="center"/>
    </xf>
    <xf numFmtId="1" fontId="15" fillId="3" borderId="5" xfId="17" applyNumberFormat="1" applyFont="1" applyFill="1" applyBorder="1" applyAlignment="1">
      <alignment horizontal="center" vertical="center"/>
    </xf>
    <xf numFmtId="1" fontId="15" fillId="3" borderId="5" xfId="17" applyNumberFormat="1" applyFont="1" applyFill="1" applyBorder="1" applyAlignment="1">
      <alignment horizontal="left" vertical="center"/>
    </xf>
    <xf numFmtId="1" fontId="4" fillId="0" borderId="5" xfId="4" applyNumberFormat="1" applyFont="1" applyFill="1" applyBorder="1" applyAlignment="1" applyProtection="1">
      <alignment horizontal="center" vertical="center" wrapText="1"/>
      <protection locked="0"/>
    </xf>
    <xf numFmtId="1" fontId="15" fillId="3" borderId="5" xfId="17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5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10" fontId="11" fillId="5" borderId="4" xfId="0" applyNumberFormat="1" applyFont="1" applyFill="1" applyBorder="1" applyAlignment="1">
      <alignment horizontal="center" vertical="center"/>
    </xf>
    <xf numFmtId="10" fontId="21" fillId="5" borderId="4" xfId="0" applyNumberFormat="1" applyFont="1" applyFill="1" applyBorder="1" applyAlignment="1">
      <alignment horizontal="center" vertical="center"/>
    </xf>
    <xf numFmtId="170" fontId="11" fillId="5" borderId="4" xfId="0" applyNumberFormat="1" applyFont="1" applyFill="1" applyBorder="1" applyAlignment="1">
      <alignment horizontal="center" vertical="center" wrapText="1"/>
    </xf>
    <xf numFmtId="10" fontId="21" fillId="5" borderId="4" xfId="2" applyNumberFormat="1" applyFont="1" applyFill="1" applyBorder="1" applyAlignment="1">
      <alignment horizontal="center" vertical="center" wrapText="1"/>
    </xf>
    <xf numFmtId="10" fontId="11" fillId="5" borderId="4" xfId="0" applyNumberFormat="1" applyFont="1" applyFill="1" applyBorder="1" applyAlignment="1">
      <alignment horizontal="center" vertical="center" wrapText="1"/>
    </xf>
    <xf numFmtId="10" fontId="4" fillId="5" borderId="4" xfId="0" applyNumberFormat="1" applyFont="1" applyFill="1" applyBorder="1" applyAlignment="1">
      <alignment horizontal="center" vertical="center" wrapText="1"/>
    </xf>
    <xf numFmtId="10" fontId="10" fillId="5" borderId="4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/>
    </xf>
    <xf numFmtId="1" fontId="4" fillId="0" borderId="38" xfId="0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35" xfId="4" applyNumberFormat="1" applyFont="1" applyFill="1" applyBorder="1" applyAlignment="1" applyProtection="1">
      <alignment horizontal="left" vertical="center" wrapText="1"/>
      <protection locked="0"/>
    </xf>
    <xf numFmtId="2" fontId="4" fillId="0" borderId="35" xfId="0" applyNumberFormat="1" applyFont="1" applyFill="1" applyBorder="1" applyAlignment="1">
      <alignment horizontal="center" vertical="center"/>
    </xf>
    <xf numFmtId="44" fontId="4" fillId="0" borderId="35" xfId="1" applyFont="1" applyFill="1" applyBorder="1" applyAlignment="1">
      <alignment vertical="center"/>
    </xf>
    <xf numFmtId="44" fontId="4" fillId="0" borderId="35" xfId="1" applyFont="1" applyBorder="1" applyAlignment="1">
      <alignment vertical="center"/>
    </xf>
    <xf numFmtId="44" fontId="4" fillId="0" borderId="31" xfId="1" applyFont="1" applyBorder="1" applyAlignment="1">
      <alignment vertical="center"/>
    </xf>
    <xf numFmtId="1" fontId="4" fillId="0" borderId="5" xfId="0" applyNumberFormat="1" applyFont="1" applyFill="1" applyBorder="1" applyAlignment="1">
      <alignment horizontal="center" vertical="top"/>
    </xf>
    <xf numFmtId="0" fontId="4" fillId="0" borderId="5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44" fontId="4" fillId="0" borderId="5" xfId="1" applyFont="1" applyFill="1" applyBorder="1" applyAlignment="1">
      <alignment vertical="top"/>
    </xf>
    <xf numFmtId="44" fontId="4" fillId="0" borderId="0" xfId="0" applyNumberFormat="1" applyFont="1" applyAlignment="1">
      <alignment vertical="center"/>
    </xf>
    <xf numFmtId="1" fontId="4" fillId="0" borderId="5" xfId="4" applyNumberFormat="1" applyFont="1" applyFill="1" applyBorder="1" applyAlignment="1" applyProtection="1">
      <alignment horizontal="left" vertical="top"/>
      <protection locked="0"/>
    </xf>
    <xf numFmtId="1" fontId="4" fillId="0" borderId="5" xfId="4" applyNumberFormat="1" applyFont="1" applyFill="1" applyBorder="1" applyAlignment="1" applyProtection="1">
      <alignment horizontal="left" vertical="center"/>
      <protection locked="0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44" fontId="4" fillId="0" borderId="5" xfId="1" applyFont="1" applyFill="1" applyBorder="1" applyAlignment="1">
      <alignment vertical="center" wrapText="1"/>
    </xf>
    <xf numFmtId="1" fontId="15" fillId="0" borderId="5" xfId="17" applyNumberFormat="1" applyFont="1" applyFill="1" applyBorder="1" applyAlignment="1">
      <alignment horizontal="center" vertical="center"/>
    </xf>
    <xf numFmtId="0" fontId="8" fillId="0" borderId="7" xfId="15" applyNumberFormat="1" applyFont="1" applyBorder="1" applyAlignment="1">
      <alignment horizontal="right" vertical="center"/>
    </xf>
    <xf numFmtId="0" fontId="8" fillId="0" borderId="0" xfId="15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15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3" fillId="6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10" fontId="4" fillId="0" borderId="5" xfId="2" applyNumberFormat="1" applyFont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44" fontId="3" fillId="6" borderId="22" xfId="1" applyFont="1" applyFill="1" applyBorder="1" applyAlignment="1">
      <alignment horizontal="center" vertical="center"/>
    </xf>
    <xf numFmtId="0" fontId="7" fillId="0" borderId="6" xfId="15" applyNumberFormat="1" applyFont="1" applyBorder="1" applyAlignment="1">
      <alignment horizontal="left" vertical="center"/>
    </xf>
    <xf numFmtId="10" fontId="0" fillId="0" borderId="0" xfId="0" applyNumberForma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18" fillId="6" borderId="19" xfId="6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4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1" fontId="4" fillId="0" borderId="24" xfId="4" applyNumberFormat="1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>
      <alignment horizontal="center" vertical="center"/>
    </xf>
    <xf numFmtId="2" fontId="4" fillId="0" borderId="24" xfId="0" applyNumberFormat="1" applyFont="1" applyFill="1" applyBorder="1" applyAlignment="1">
      <alignment horizontal="center" vertical="center"/>
    </xf>
    <xf numFmtId="44" fontId="4" fillId="0" borderId="24" xfId="1" applyFont="1" applyBorder="1" applyAlignment="1">
      <alignment vertical="center"/>
    </xf>
    <xf numFmtId="44" fontId="4" fillId="0" borderId="30" xfId="1" applyFont="1" applyBorder="1" applyAlignment="1">
      <alignment vertical="center"/>
    </xf>
    <xf numFmtId="0" fontId="8" fillId="0" borderId="7" xfId="15" applyNumberFormat="1" applyFont="1" applyBorder="1" applyAlignment="1">
      <alignment horizontal="right" vertical="center"/>
    </xf>
    <xf numFmtId="0" fontId="8" fillId="0" borderId="0" xfId="15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0" fontId="7" fillId="0" borderId="10" xfId="2" applyNumberFormat="1" applyFont="1" applyBorder="1" applyAlignment="1">
      <alignment horizontal="left" vertical="center"/>
    </xf>
    <xf numFmtId="0" fontId="7" fillId="0" borderId="0" xfId="15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7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44" fontId="3" fillId="2" borderId="12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left" vertical="center"/>
    </xf>
    <xf numFmtId="10" fontId="4" fillId="0" borderId="0" xfId="2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4" fontId="3" fillId="2" borderId="16" xfId="1" applyFont="1" applyFill="1" applyBorder="1" applyAlignment="1">
      <alignment horizontal="center" vertical="center"/>
    </xf>
    <xf numFmtId="44" fontId="3" fillId="2" borderId="17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4" fontId="4" fillId="0" borderId="5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0" fontId="4" fillId="0" borderId="6" xfId="2" applyNumberFormat="1" applyFont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44" fontId="3" fillId="2" borderId="40" xfId="1" applyFont="1" applyFill="1" applyBorder="1" applyAlignment="1">
      <alignment horizontal="center" vertical="center"/>
    </xf>
    <xf numFmtId="44" fontId="3" fillId="2" borderId="12" xfId="1" applyFont="1" applyFill="1" applyBorder="1" applyAlignment="1">
      <alignment horizontal="center" vertical="center"/>
    </xf>
    <xf numFmtId="44" fontId="3" fillId="2" borderId="32" xfId="1" applyFont="1" applyFill="1" applyBorder="1" applyAlignment="1">
      <alignment horizontal="center" vertical="center"/>
    </xf>
    <xf numFmtId="44" fontId="3" fillId="2" borderId="20" xfId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4" fontId="3" fillId="2" borderId="40" xfId="1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44" fontId="3" fillId="2" borderId="16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4" fontId="3" fillId="2" borderId="10" xfId="1" applyFont="1" applyFill="1" applyBorder="1" applyAlignment="1">
      <alignment horizontal="center" vertical="center" wrapText="1"/>
    </xf>
    <xf numFmtId="44" fontId="3" fillId="2" borderId="13" xfId="1" applyFont="1" applyFill="1" applyBorder="1" applyAlignment="1">
      <alignment horizontal="center" vertical="center" wrapText="1"/>
    </xf>
    <xf numFmtId="44" fontId="3" fillId="2" borderId="9" xfId="1" applyFont="1" applyFill="1" applyBorder="1" applyAlignment="1">
      <alignment horizontal="center" vertical="center"/>
    </xf>
    <xf numFmtId="44" fontId="3" fillId="2" borderId="14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6" fillId="0" borderId="41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10" fontId="3" fillId="2" borderId="25" xfId="2" applyNumberFormat="1" applyFont="1" applyFill="1" applyBorder="1" applyAlignment="1">
      <alignment horizontal="center" vertical="center"/>
    </xf>
    <xf numFmtId="10" fontId="3" fillId="2" borderId="32" xfId="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" fontId="4" fillId="0" borderId="36" xfId="20" applyNumberFormat="1" applyFont="1" applyFill="1" applyBorder="1" applyAlignment="1" applyProtection="1">
      <alignment horizontal="center" vertical="center" wrapText="1"/>
    </xf>
    <xf numFmtId="1" fontId="4" fillId="0" borderId="37" xfId="20" applyNumberFormat="1" applyFont="1" applyFill="1" applyBorder="1" applyAlignment="1" applyProtection="1">
      <alignment horizontal="center" vertical="center" wrapText="1"/>
    </xf>
    <xf numFmtId="1" fontId="4" fillId="0" borderId="38" xfId="20" applyNumberFormat="1" applyFont="1" applyFill="1" applyBorder="1" applyAlignment="1" applyProtection="1">
      <alignment horizontal="center" vertical="center" wrapText="1"/>
    </xf>
    <xf numFmtId="1" fontId="4" fillId="0" borderId="24" xfId="21" applyNumberFormat="1" applyFont="1" applyFill="1" applyBorder="1" applyAlignment="1">
      <alignment horizontal="center" vertical="center" wrapText="1"/>
    </xf>
    <xf numFmtId="1" fontId="4" fillId="0" borderId="29" xfId="21" applyNumberFormat="1" applyFont="1" applyFill="1" applyBorder="1" applyAlignment="1">
      <alignment horizontal="center" vertical="center" wrapText="1"/>
    </xf>
    <xf numFmtId="1" fontId="4" fillId="0" borderId="35" xfId="21" applyNumberFormat="1" applyFont="1" applyFill="1" applyBorder="1" applyAlignment="1">
      <alignment horizontal="center" vertical="center" wrapText="1"/>
    </xf>
    <xf numFmtId="0" fontId="4" fillId="0" borderId="24" xfId="21" applyNumberFormat="1" applyFont="1" applyFill="1" applyBorder="1" applyAlignment="1">
      <alignment horizontal="center" vertical="center" wrapText="1"/>
    </xf>
    <xf numFmtId="0" fontId="4" fillId="0" borderId="29" xfId="21" applyNumberFormat="1" applyFont="1" applyFill="1" applyBorder="1" applyAlignment="1">
      <alignment horizontal="center" vertical="center" wrapText="1"/>
    </xf>
    <xf numFmtId="0" fontId="4" fillId="0" borderId="35" xfId="21" applyNumberFormat="1" applyFont="1" applyFill="1" applyBorder="1" applyAlignment="1">
      <alignment horizontal="center" vertical="center" wrapText="1"/>
    </xf>
    <xf numFmtId="167" fontId="3" fillId="0" borderId="25" xfId="6" applyNumberFormat="1" applyFont="1" applyFill="1" applyBorder="1" applyAlignment="1">
      <alignment horizontal="center" vertical="center"/>
    </xf>
    <xf numFmtId="167" fontId="3" fillId="0" borderId="30" xfId="6" applyNumberFormat="1" applyFont="1" applyFill="1" applyBorder="1" applyAlignment="1">
      <alignment horizontal="center" vertical="center"/>
    </xf>
    <xf numFmtId="167" fontId="3" fillId="0" borderId="31" xfId="6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4" fillId="5" borderId="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6" fillId="5" borderId="23" xfId="0" applyNumberFormat="1" applyFont="1" applyFill="1" applyBorder="1" applyAlignment="1">
      <alignment horizontal="center" vertical="center"/>
    </xf>
    <xf numFmtId="0" fontId="6" fillId="5" borderId="21" xfId="0" applyNumberFormat="1" applyFont="1" applyFill="1" applyBorder="1" applyAlignment="1">
      <alignment horizontal="center" vertical="center"/>
    </xf>
    <xf numFmtId="0" fontId="6" fillId="5" borderId="22" xfId="0" applyNumberFormat="1" applyFont="1" applyFill="1" applyBorder="1" applyAlignment="1">
      <alignment horizontal="center" vertical="center"/>
    </xf>
    <xf numFmtId="10" fontId="4" fillId="0" borderId="5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horizontal="center" vertical="center"/>
    </xf>
    <xf numFmtId="0" fontId="14" fillId="2" borderId="16" xfId="4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 indent="5"/>
    </xf>
    <xf numFmtId="0" fontId="4" fillId="0" borderId="5" xfId="4" applyFont="1" applyBorder="1" applyAlignment="1">
      <alignment horizontal="left" vertical="center" indent="5"/>
    </xf>
    <xf numFmtId="0" fontId="3" fillId="4" borderId="18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10" fontId="3" fillId="4" borderId="5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8" xfId="4" applyFont="1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vertical="center"/>
    </xf>
    <xf numFmtId="10" fontId="4" fillId="0" borderId="13" xfId="2" applyNumberFormat="1" applyFont="1" applyFill="1" applyBorder="1" applyAlignment="1">
      <alignment horizontal="center" vertical="center"/>
    </xf>
    <xf numFmtId="10" fontId="4" fillId="0" borderId="14" xfId="2" applyNumberFormat="1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left" vertical="center" indent="5"/>
    </xf>
    <xf numFmtId="0" fontId="4" fillId="0" borderId="13" xfId="4" applyFont="1" applyFill="1" applyBorder="1" applyAlignment="1">
      <alignment horizontal="left" vertical="center" indent="5"/>
    </xf>
    <xf numFmtId="0" fontId="14" fillId="2" borderId="19" xfId="4" applyFont="1" applyFill="1" applyBorder="1" applyAlignment="1">
      <alignment horizontal="center" vertical="center"/>
    </xf>
    <xf numFmtId="0" fontId="14" fillId="2" borderId="12" xfId="4" applyFont="1" applyFill="1" applyBorder="1" applyAlignment="1">
      <alignment horizontal="center" vertical="center"/>
    </xf>
    <xf numFmtId="10" fontId="14" fillId="2" borderId="12" xfId="2" applyNumberFormat="1" applyFont="1" applyFill="1" applyBorder="1" applyAlignment="1">
      <alignment horizontal="center" vertical="center"/>
    </xf>
    <xf numFmtId="10" fontId="14" fillId="2" borderId="20" xfId="2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10" fontId="21" fillId="5" borderId="5" xfId="0" applyNumberFormat="1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21" fillId="2" borderId="5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10" fontId="15" fillId="5" borderId="5" xfId="0" applyNumberFormat="1" applyFont="1" applyFill="1" applyBorder="1" applyAlignment="1">
      <alignment horizontal="right" vertical="center"/>
    </xf>
    <xf numFmtId="0" fontId="11" fillId="5" borderId="18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19" xfId="0" applyFont="1" applyFill="1" applyBorder="1" applyAlignment="1">
      <alignment horizontal="left" vertical="top" wrapText="1"/>
    </xf>
    <xf numFmtId="0" fontId="11" fillId="5" borderId="12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top" wrapText="1"/>
    </xf>
    <xf numFmtId="0" fontId="4" fillId="0" borderId="7" xfId="4" applyFont="1" applyFill="1" applyBorder="1" applyAlignment="1">
      <alignment horizontal="left" vertical="center" indent="5"/>
    </xf>
    <xf numFmtId="0" fontId="4" fillId="0" borderId="0" xfId="4" applyFont="1" applyFill="1" applyBorder="1" applyAlignment="1">
      <alignment horizontal="left" vertical="center" indent="5"/>
    </xf>
    <xf numFmtId="10" fontId="4" fillId="0" borderId="0" xfId="2" applyNumberFormat="1" applyFont="1" applyFill="1" applyBorder="1" applyAlignment="1">
      <alignment horizontal="center" vertical="center"/>
    </xf>
    <xf numFmtId="10" fontId="4" fillId="0" borderId="6" xfId="2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24">
    <cellStyle name="Hiperlink" xfId="20" builtinId="8"/>
    <cellStyle name="Moeda" xfId="1" builtinId="4"/>
    <cellStyle name="Moeda 10" xfId="13" xr:uid="{00000000-0005-0000-0000-000002000000}"/>
    <cellStyle name="Moeda 2 2 2 2 2" xfId="10" xr:uid="{00000000-0005-0000-0000-000003000000}"/>
    <cellStyle name="Moeda 2 2 2 78" xfId="22" xr:uid="{00000000-0005-0000-0000-000004000000}"/>
    <cellStyle name="Normal" xfId="0" builtinId="0"/>
    <cellStyle name="Normal 2" xfId="4" xr:uid="{00000000-0005-0000-0000-000006000000}"/>
    <cellStyle name="Normal 2 2" xfId="7" xr:uid="{00000000-0005-0000-0000-000007000000}"/>
    <cellStyle name="Normal 3" xfId="6" xr:uid="{00000000-0005-0000-0000-000008000000}"/>
    <cellStyle name="Normal 3 130" xfId="21" xr:uid="{00000000-0005-0000-0000-000009000000}"/>
    <cellStyle name="Normal 3 2 2" xfId="9" xr:uid="{00000000-0005-0000-0000-00000A000000}"/>
    <cellStyle name="Normal 36" xfId="11" xr:uid="{00000000-0005-0000-0000-00000B000000}"/>
    <cellStyle name="Normal 6" xfId="8" xr:uid="{00000000-0005-0000-0000-00000C000000}"/>
    <cellStyle name="Normal_Pesquisa no referencial 10 de maio de 2013" xfId="17" xr:uid="{00000000-0005-0000-0000-00000D000000}"/>
    <cellStyle name="Porcentagem" xfId="2" builtinId="5"/>
    <cellStyle name="Porcentagem 2" xfId="3" xr:uid="{00000000-0005-0000-0000-00000F000000}"/>
    <cellStyle name="Porcentagem 2 10" xfId="12" xr:uid="{00000000-0005-0000-0000-000010000000}"/>
    <cellStyle name="Porcentagem 2 2" xfId="18" xr:uid="{00000000-0005-0000-0000-000011000000}"/>
    <cellStyle name="Porcentagem 34" xfId="14" xr:uid="{00000000-0005-0000-0000-000012000000}"/>
    <cellStyle name="Separador de milhares 2" xfId="16" xr:uid="{00000000-0005-0000-0000-000013000000}"/>
    <cellStyle name="Separador de milhares 2 2" xfId="19" xr:uid="{00000000-0005-0000-0000-000014000000}"/>
    <cellStyle name="Vírgula" xfId="15" builtinId="3"/>
    <cellStyle name="Vírgula 2" xfId="5" xr:uid="{00000000-0005-0000-0000-000016000000}"/>
    <cellStyle name="Vírgula 4" xfId="23" xr:uid="{00000000-0005-0000-0000-000017000000}"/>
  </cellStyles>
  <dxfs count="30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 ABC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'CURVA ABC'!$H$19:$H$20</c:f>
              <c:strCache>
                <c:ptCount val="2"/>
                <c:pt idx="0">
                  <c:v> %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'CURVA ABC'!$C$21:$C$81</c:f>
              <c:strCache>
                <c:ptCount val="61"/>
                <c:pt idx="0">
                  <c:v>CONECTORIZAÇÃO, FECHAMENTO DE RACK E CERTIFICAÇÃO DE PONTOS DE LÓGICA </c:v>
                </c:pt>
                <c:pt idx="1">
                  <c:v>CANALETA DE ALUMÍNIO COM TAMPA - 73X25MM - FORNECIMENTO E INSTALAÇÃO</c:v>
                </c:pt>
                <c:pt idx="2">
                  <c:v>CABO ELETRÔNICO CATEGORIA 6, INSTALADO EM EDIFICAÇÃO INSTITUCIONAL - FORNECIMENTO E INSTALAÇÃO. AF_11/2019</c:v>
                </c:pt>
                <c:pt idx="3">
                  <c:v>CÂMERA IP - POE - VIP 3260 Z FULL HD - ZOOM ÓPTICO 5X - LENTE 2.7MM - WDR REAL (120DB) - FORNECIMENTO E INSTALAÇÃO</c:v>
                </c:pt>
                <c:pt idx="4">
                  <c:v>ADMINISTRAÇÃO DE OBRAS</c:v>
                </c:pt>
                <c:pt idx="5">
                  <c:v>CÂMERA IP - POE - VIP 3230 B SÉRIE 3000 FULL HD - LENTE 2.8MM - FORNECIMENTO E INSTALAÇÃO</c:v>
                </c:pt>
                <c:pt idx="6">
                  <c:v>PATCH CORD, CATEGORIA 6, EXTENSAO DE 2,50 M - FORNECIMENTO E INSTALAÇÃO</c:v>
                </c:pt>
                <c:pt idx="7">
                  <c:v>PATCH PANEL 24 PORTAS, CATEGORIA 6 - FORNECIMENTO E INSTALAÇÃO. AF_11/2019</c:v>
                </c:pt>
                <c:pt idx="8">
                  <c:v>HD DE 4TB - COMPATÍVEL COM NVR - REF. SEAGATE ST4000VX000 - FORNECIMENTO E INSTALAÇÃO</c:v>
                </c:pt>
                <c:pt idx="9">
                  <c:v>PORTA EQUIPAMENTOS P/ 3 RJ45 - PARA CANALETA DE ALUMÍNIO - FORNECIMENTO E INSTALAÇÃO</c:v>
                </c:pt>
                <c:pt idx="10">
                  <c:v>GRAVADOR DE VÍDEO NVR 32 CANAIS - RESOLUÇÃO DE GRAVAÇÃO 8MP(4K) - 8HD'S - REF. INTELBRAS NVD 7132 - FORNECIMENTO E INSTALAÇÃO</c:v>
                </c:pt>
                <c:pt idx="11">
                  <c:v>FIXAÇÃO DE PERFILADO 38X38, EM LAJE, COM BARRA ROSCADA - FORNECIMENTO E INSTALAÇÃO</c:v>
                </c:pt>
                <c:pt idx="12">
                  <c:v>FUSÃO E CERTIFICAÇÃO DE FIBRA ÓPTICA</c:v>
                </c:pt>
                <c:pt idx="13">
                  <c:v>RACK DE PISO 19" - PORTA ACRÍLICO - 44U X 670MM - FORNECIMENTO E INSTALAÇÃO</c:v>
                </c:pt>
                <c:pt idx="14">
                  <c:v>RACK DE PISO 19" - ABERTO - 44U X 450MM - FORNECIMENTO E INSTALAÇÃO</c:v>
                </c:pt>
                <c:pt idx="15">
                  <c:v>ELETROCALHA METÁLICA PERFURADA TIPO U 200X100MM  - FORNECIMENTO E INSTALAÇÃO</c:v>
                </c:pt>
                <c:pt idx="16">
                  <c:v>RACK DE PAREDE 19" 16U X 570MM FECHADO, PORTA ACRÍLICO - FORNECIMENTO E INSTALAÇÃO</c:v>
                </c:pt>
                <c:pt idx="17">
                  <c:v>PLACA COM 1 MÓDULO - RJ45 - PARA PORTA EQUIPAMENTO DA CANALETA DE ALUMÍNIO - FORNECIMENTO E INSTALAÇÃO</c:v>
                </c:pt>
                <c:pt idx="18">
                  <c:v>PLACA COM 2 MÓDULOS - RJ45 - PARA PORTA EQUIPAMENTO DA CANALETA DE ALUMÍNIO - FORNECIMENTO E INSTALAÇÃO</c:v>
                </c:pt>
                <c:pt idx="19">
                  <c:v>ELETROCALHA METÁLICA PERFURADA TIPO U 200X50MM - FORNECIMENTO E INSTALAÇÃO</c:v>
                </c:pt>
                <c:pt idx="20">
                  <c:v>PERFILADO GALVANIZADO À FOGO 38X38X6000MM - FORNECIMENTO E INSTALAÇÃO</c:v>
                </c:pt>
                <c:pt idx="21">
                  <c:v>CONECTOR MACHO RJ - 45, CATEGORIA 6 - FORNECIMENTO E INSTALAÇÃO</c:v>
                </c:pt>
                <c:pt idx="22">
                  <c:v>TOMADA DE REDE COM 1 MÓDULO - RJ45 - PARA CAIXA DE EMBUTIR 4X2" - FORNECIMENTO E INSTALAÇÃO</c:v>
                </c:pt>
                <c:pt idx="23">
                  <c:v>MÓDULO GBIC SFP - BI-DIRECIONAL - FORNECIMENTO E INSTALAÇÃO</c:v>
                </c:pt>
                <c:pt idx="24">
                  <c:v>DIO 19" 6FO MÍNIMO - MONOMODO -  COM CONECTOR SC - FORNECIMENTO E INSTALAÇÃO</c:v>
                </c:pt>
                <c:pt idx="25">
                  <c:v>GANCHO CURTO PARA PERFILADO 44X32MM - FORNECIMENTO E INSTALAÇÃO</c:v>
                </c:pt>
                <c:pt idx="26">
                  <c:v>CAIXA DE DERIVAÇÃO PARA CANALETA 73X25MM - FORNECIMENTO E INSTALAÇÃO</c:v>
                </c:pt>
                <c:pt idx="27">
                  <c:v>ELETRODUTO FLEXÍVEL CORRUGADO, PVC, DN 25 MM (3/4"), PARA CIRCUITOS TERMINAIS, INSTALADO EM FORRO - FORNECIMENTO E INSTALAÇÃO. AF_12/2015</c:v>
                </c:pt>
                <c:pt idx="28">
                  <c:v>ESCAVAÇÃO MANUAL DE VALA COM PROFUNDIDADE MENOR OU IGUAL A 1,30 M. AF_02/2021</c:v>
                </c:pt>
                <c:pt idx="29">
                  <c:v>ELETRODUTO DE AÇO GALVANIZADO, CLASSE LEVE, DN 20 MM (3/4), APARENTE , INSTALADO EM PAREDE - FORNECIMENTO E INSTALAÇÃO. AF_11/2016_P</c:v>
                </c:pt>
                <c:pt idx="30">
                  <c:v>ELETROCALHA METÁLICA PERFURADA TIPO U 100X50MM - FORNECIMENTO E INSTALAÇÃO</c:v>
                </c:pt>
                <c:pt idx="31">
                  <c:v>RACK DE PISO 19" - PORTA ACRÍLICO - 22U X 670MM - FORNECIMENTO E INSTALAÇÃO</c:v>
                </c:pt>
                <c:pt idx="32">
                  <c:v>FIXAÇÃO DE ELETROCALHA 200X50, EM LAJE, COM BARRA ROSCADA - FORNECIMENTO E INSTALAÇÃO</c:v>
                </c:pt>
                <c:pt idx="33">
                  <c:v>FIXAÇÃO DE ELETROCALHA 200X100, EM LAJE, COM BARRA ROSCADA - FORNECIMENTO E INSTALAÇÃO</c:v>
                </c:pt>
                <c:pt idx="34">
                  <c:v>FIBRA ÓPTICA - 6FO - MONOMODO - FORNECIMENTO E INSTALAÇÃO</c:v>
                </c:pt>
                <c:pt idx="35">
                  <c:v>REATERRO MANUAL APILOADO COM SOQUETE. AF_10/2017</c:v>
                </c:pt>
                <c:pt idx="36">
                  <c:v>ADAPTADOR CANALETA DE ALUMÍNIO 73X25MM PARA ELETRODUTO - FORNECIMENTO E INSTALAÇÃO</c:v>
                </c:pt>
                <c:pt idx="37">
                  <c:v>TALA PLANA PERFURADA 38MM - FORNECIMENTO E INSTALAÇÃO</c:v>
                </c:pt>
                <c:pt idx="38">
                  <c:v>RASGO EM ALVENARIA PARA RAMAIS/ DISTRIBUIÇÃO COM DIAMETROS MENORES OU IGUAIS A 40 MM. AF_05/2015</c:v>
                </c:pt>
                <c:pt idx="39">
                  <c:v>CURVA HORIZONTAL 90° PARA CANALETA DE ALUMÍNIO 73X25MM - FORNECIMENTO E INSTALAÇÃO</c:v>
                </c:pt>
                <c:pt idx="40">
                  <c:v>TOMADA DE REDE COM 1 MÓDULO - RJ45 - PARA CONDULETE DE ALUMÍNIO 3/4" - FORNECIMENTO E INSTALAÇÃO</c:v>
                </c:pt>
                <c:pt idx="41">
                  <c:v>FIBRA ÓPTICA - 48FO - MONOMODO - FORNECIMENTO E INSTALAÇÃO</c:v>
                </c:pt>
                <c:pt idx="42">
                  <c:v>GUIA DE CABOS FECHADO HORIZONTAL 19"X1U PRETO - FORNECIMENTO E INSTALAÇÃO</c:v>
                </c:pt>
                <c:pt idx="43">
                  <c:v>CURVA VERTICAL INTERNA  90° PARA CANALETA DE ALUMÍNIO 73X25MM - FORNECIMENTO E INSTALAÇÃO</c:v>
                </c:pt>
                <c:pt idx="44">
                  <c:v>CAIXA ENTERRADA ELÉTRICA RETANGULAR, EM ALVENARIA COM TIJOLOS CERÂMICOS MACIÇOS, FUNDO COM BRITA, DIMENSÕES INTERNAS: 0,4X0,4X0,4 M. AF_12/2020</c:v>
                </c:pt>
                <c:pt idx="45">
                  <c:v>TALA PLANA PERFURADA 50MM - FORNECIMENTO E INSTALAÇÃO</c:v>
                </c:pt>
                <c:pt idx="46">
                  <c:v>DIO 19" 48FO MÍNIMO - MONOMODO-  COM CONECTOR SC - FORNECIMENTO E INSTALAÇÃO</c:v>
                </c:pt>
                <c:pt idx="47">
                  <c:v>LIMPEZA DE PISO CERÂMICO OU PORCELANATO COM VASSOURA A SECO. AF_04/2019</c:v>
                </c:pt>
                <c:pt idx="48">
                  <c:v>PIGTAIL - CONECTOR SC - 1,5M - FORNECIMENTO E INSTALAÇÃO</c:v>
                </c:pt>
                <c:pt idx="49">
                  <c:v>PLACA DE FECHAMENTO CEGA - 1U - GABINETE PADRÃO 19" - FORNECIMENTO E INSTALAÇÃO</c:v>
                </c:pt>
                <c:pt idx="50">
                  <c:v>SAÍDA PERFILADO PARA ELETRODUTO 3/4" - FORNECIMENTO E INSTALAÇÃO</c:v>
                </c:pt>
                <c:pt idx="51">
                  <c:v>FIXAÇÃO DE ELETROCALHA 100X50, EM LAJE, COM BARRA ROSCADA - FORNECIMENTO E INSTALAÇÃO</c:v>
                </c:pt>
                <c:pt idx="52">
                  <c:v>ELETRODUTO DE AÇO GALVANIZADO, CLASSE LEVE, DN 25 MM (1), APARENTE, INSTALADO EM PAREDE - FORNECIMENTO E INSTALAÇÃO. AF_11/2016_P</c:v>
                </c:pt>
                <c:pt idx="53">
                  <c:v>PLACA CEGA - PARA CAIXA DE EMBUTIR 4X2" - FORNECIMENTO E INSTALAÇÃO</c:v>
                </c:pt>
                <c:pt idx="54">
                  <c:v>MONITOR LED 18,5", HD, WIDESCREEN - COM ENTRADA HDMI - FORNECIMENTO E INSTALAÇÃO</c:v>
                </c:pt>
                <c:pt idx="55">
                  <c:v>PLACA DE OBRA EM CHAPA DE ACO GALVANIZADO (1,50 X 1,50 M)</c:v>
                </c:pt>
                <c:pt idx="56">
                  <c:v>RÉGUA DE TOMADAS COM 10 TOMADAS PADRÃO BRASILEIRO PRETA - FORNECIMENTO E INSTALAÇÃO</c:v>
                </c:pt>
                <c:pt idx="57">
                  <c:v>RASGO EM CONTRAPISO PARA RAMAIS/ DISTRIBUIÇÃO COM DIÂMETROS MENORES OU IGUAIS A 40 MM. AF_05/2015</c:v>
                </c:pt>
                <c:pt idx="58">
                  <c:v>CURVA 90° HORIZONTAL ELETROCALHA 200X50MM - FORNECIMENTO E INSTALAÇÃO</c:v>
                </c:pt>
                <c:pt idx="59">
                  <c:v>ELETRODUTO FLEXÍVEL CORRUGADO, PVC, DN 32 MM (1"), PARA CIRCUITOS TERMINAIS, INSTALADO EM FORRO - FORNECIMENTO E INSTALAÇÃO. AF_12/2015</c:v>
                </c:pt>
                <c:pt idx="60">
                  <c:v>ELETRODUTO FLEXÍVEL CORRUGADO, PEAD, DN 50 (1 ½)  - FORNECIMENTO E INSTALAÇÃO. AF_04/2016</c:v>
                </c:pt>
              </c:strCache>
            </c:strRef>
          </c:cat>
          <c:val>
            <c:numRef>
              <c:f>'CURVA ABC'!$H$21:$H$81</c:f>
              <c:numCache>
                <c:formatCode>0.00%</c:formatCode>
                <c:ptCount val="61"/>
                <c:pt idx="0">
                  <c:v>0.107221217075802</c:v>
                </c:pt>
                <c:pt idx="1">
                  <c:v>0.10653453805398179</c:v>
                </c:pt>
                <c:pt idx="2">
                  <c:v>0.10557220347173049</c:v>
                </c:pt>
                <c:pt idx="3">
                  <c:v>9.5488353343854776E-2</c:v>
                </c:pt>
                <c:pt idx="4">
                  <c:v>7.9188880308134327E-2</c:v>
                </c:pt>
                <c:pt idx="5">
                  <c:v>5.8712457751387406E-2</c:v>
                </c:pt>
                <c:pt idx="6">
                  <c:v>4.8703209052629988E-2</c:v>
                </c:pt>
                <c:pt idx="7">
                  <c:v>4.6528213629868954E-2</c:v>
                </c:pt>
                <c:pt idx="8">
                  <c:v>2.8853519005616026E-2</c:v>
                </c:pt>
                <c:pt idx="9">
                  <c:v>2.1760211178696174E-2</c:v>
                </c:pt>
                <c:pt idx="10">
                  <c:v>1.7597737674391094E-2</c:v>
                </c:pt>
                <c:pt idx="11">
                  <c:v>1.6672614356544116E-2</c:v>
                </c:pt>
                <c:pt idx="12">
                  <c:v>1.4054229424708934E-2</c:v>
                </c:pt>
                <c:pt idx="13">
                  <c:v>1.3809136000507365E-2</c:v>
                </c:pt>
                <c:pt idx="14">
                  <c:v>1.3637481153411447E-2</c:v>
                </c:pt>
                <c:pt idx="15">
                  <c:v>1.2724209981077867E-2</c:v>
                </c:pt>
                <c:pt idx="16">
                  <c:v>1.2177371367956597E-2</c:v>
                </c:pt>
                <c:pt idx="17">
                  <c:v>1.212461068497306E-2</c:v>
                </c:pt>
                <c:pt idx="18">
                  <c:v>1.2066438267623028E-2</c:v>
                </c:pt>
                <c:pt idx="19">
                  <c:v>1.1714794800673972E-2</c:v>
                </c:pt>
                <c:pt idx="20">
                  <c:v>9.6075727785467774E-3</c:v>
                </c:pt>
                <c:pt idx="21">
                  <c:v>9.4820891196961306E-3</c:v>
                </c:pt>
                <c:pt idx="22">
                  <c:v>8.9630545963641541E-3</c:v>
                </c:pt>
                <c:pt idx="23">
                  <c:v>8.7546655523562718E-3</c:v>
                </c:pt>
                <c:pt idx="24">
                  <c:v>8.4235061708605608E-3</c:v>
                </c:pt>
                <c:pt idx="25">
                  <c:v>8.0637525565413325E-3</c:v>
                </c:pt>
                <c:pt idx="26">
                  <c:v>7.1374962033999923E-3</c:v>
                </c:pt>
                <c:pt idx="27">
                  <c:v>6.8855151172774291E-3</c:v>
                </c:pt>
                <c:pt idx="28">
                  <c:v>6.0886036880030492E-3</c:v>
                </c:pt>
                <c:pt idx="29">
                  <c:v>5.2023315540653961E-3</c:v>
                </c:pt>
                <c:pt idx="30">
                  <c:v>4.5556367514488659E-3</c:v>
                </c:pt>
                <c:pt idx="31">
                  <c:v>4.4582404412111002E-3</c:v>
                </c:pt>
                <c:pt idx="32">
                  <c:v>4.1973888814024083E-3</c:v>
                </c:pt>
                <c:pt idx="33">
                  <c:v>3.7982175655266745E-3</c:v>
                </c:pt>
                <c:pt idx="34">
                  <c:v>3.751703485021267E-3</c:v>
                </c:pt>
                <c:pt idx="35">
                  <c:v>3.6909668298997821E-3</c:v>
                </c:pt>
                <c:pt idx="36">
                  <c:v>3.3884613146641326E-3</c:v>
                </c:pt>
                <c:pt idx="37">
                  <c:v>3.1920287746836028E-3</c:v>
                </c:pt>
                <c:pt idx="38">
                  <c:v>3.129219857642166E-3</c:v>
                </c:pt>
                <c:pt idx="39">
                  <c:v>3.0853445567038925E-3</c:v>
                </c:pt>
                <c:pt idx="40">
                  <c:v>2.7684822916199388E-3</c:v>
                </c:pt>
                <c:pt idx="41">
                  <c:v>2.7365336779907436E-3</c:v>
                </c:pt>
                <c:pt idx="42">
                  <c:v>2.6309526785871229E-3</c:v>
                </c:pt>
                <c:pt idx="43">
                  <c:v>2.4949139014679416E-3</c:v>
                </c:pt>
                <c:pt idx="44">
                  <c:v>2.3191443472503912E-3</c:v>
                </c:pt>
                <c:pt idx="45">
                  <c:v>2.3189952636590277E-3</c:v>
                </c:pt>
                <c:pt idx="46">
                  <c:v>2.2659811385701721E-3</c:v>
                </c:pt>
                <c:pt idx="47">
                  <c:v>2.1703887397879046E-3</c:v>
                </c:pt>
                <c:pt idx="48">
                  <c:v>1.9895205267457233E-3</c:v>
                </c:pt>
                <c:pt idx="49">
                  <c:v>1.9157986908164793E-3</c:v>
                </c:pt>
                <c:pt idx="50">
                  <c:v>1.8936895942172744E-3</c:v>
                </c:pt>
                <c:pt idx="51">
                  <c:v>1.6778314622820829E-3</c:v>
                </c:pt>
                <c:pt idx="52">
                  <c:v>1.6270983161410886E-3</c:v>
                </c:pt>
                <c:pt idx="53">
                  <c:v>1.5264818003298715E-3</c:v>
                </c:pt>
                <c:pt idx="54">
                  <c:v>1.4127161117603953E-3</c:v>
                </c:pt>
                <c:pt idx="55">
                  <c:v>1.3807525897720637E-3</c:v>
                </c:pt>
                <c:pt idx="56">
                  <c:v>1.3060915272172301E-3</c:v>
                </c:pt>
                <c:pt idx="57">
                  <c:v>1.2927783625084706E-3</c:v>
                </c:pt>
                <c:pt idx="58">
                  <c:v>1.1406236491628965E-3</c:v>
                </c:pt>
                <c:pt idx="59">
                  <c:v>1.1105236720666087E-3</c:v>
                </c:pt>
                <c:pt idx="60">
                  <c:v>1.0604017686502046E-3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4-408C-9EA6-72CC32C10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590225232"/>
        <c:axId val="590231056"/>
      </c:barChart>
      <c:lineChart>
        <c:grouping val="standard"/>
        <c:varyColors val="0"/>
        <c:ser>
          <c:idx val="1"/>
          <c:order val="1"/>
          <c:tx>
            <c:strRef>
              <c:f>'CURVA ABC'!$I$19:$I$20</c:f>
              <c:strCache>
                <c:ptCount val="2"/>
                <c:pt idx="0">
                  <c:v> % ACUMULADA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'CURVA ABC'!$C$21:$C$81</c:f>
              <c:strCache>
                <c:ptCount val="61"/>
                <c:pt idx="0">
                  <c:v>CONECTORIZAÇÃO, FECHAMENTO DE RACK E CERTIFICAÇÃO DE PONTOS DE LÓGICA </c:v>
                </c:pt>
                <c:pt idx="1">
                  <c:v>CANALETA DE ALUMÍNIO COM TAMPA - 73X25MM - FORNECIMENTO E INSTALAÇÃO</c:v>
                </c:pt>
                <c:pt idx="2">
                  <c:v>CABO ELETRÔNICO CATEGORIA 6, INSTALADO EM EDIFICAÇÃO INSTITUCIONAL - FORNECIMENTO E INSTALAÇÃO. AF_11/2019</c:v>
                </c:pt>
                <c:pt idx="3">
                  <c:v>CÂMERA IP - POE - VIP 3260 Z FULL HD - ZOOM ÓPTICO 5X - LENTE 2.7MM - WDR REAL (120DB) - FORNECIMENTO E INSTALAÇÃO</c:v>
                </c:pt>
                <c:pt idx="4">
                  <c:v>ADMINISTRAÇÃO DE OBRAS</c:v>
                </c:pt>
                <c:pt idx="5">
                  <c:v>CÂMERA IP - POE - VIP 3230 B SÉRIE 3000 FULL HD - LENTE 2.8MM - FORNECIMENTO E INSTALAÇÃO</c:v>
                </c:pt>
                <c:pt idx="6">
                  <c:v>PATCH CORD, CATEGORIA 6, EXTENSAO DE 2,50 M - FORNECIMENTO E INSTALAÇÃO</c:v>
                </c:pt>
                <c:pt idx="7">
                  <c:v>PATCH PANEL 24 PORTAS, CATEGORIA 6 - FORNECIMENTO E INSTALAÇÃO. AF_11/2019</c:v>
                </c:pt>
                <c:pt idx="8">
                  <c:v>HD DE 4TB - COMPATÍVEL COM NVR - REF. SEAGATE ST4000VX000 - FORNECIMENTO E INSTALAÇÃO</c:v>
                </c:pt>
                <c:pt idx="9">
                  <c:v>PORTA EQUIPAMENTOS P/ 3 RJ45 - PARA CANALETA DE ALUMÍNIO - FORNECIMENTO E INSTALAÇÃO</c:v>
                </c:pt>
                <c:pt idx="10">
                  <c:v>GRAVADOR DE VÍDEO NVR 32 CANAIS - RESOLUÇÃO DE GRAVAÇÃO 8MP(4K) - 8HD'S - REF. INTELBRAS NVD 7132 - FORNECIMENTO E INSTALAÇÃO</c:v>
                </c:pt>
                <c:pt idx="11">
                  <c:v>FIXAÇÃO DE PERFILADO 38X38, EM LAJE, COM BARRA ROSCADA - FORNECIMENTO E INSTALAÇÃO</c:v>
                </c:pt>
                <c:pt idx="12">
                  <c:v>FUSÃO E CERTIFICAÇÃO DE FIBRA ÓPTICA</c:v>
                </c:pt>
                <c:pt idx="13">
                  <c:v>RACK DE PISO 19" - PORTA ACRÍLICO - 44U X 670MM - FORNECIMENTO E INSTALAÇÃO</c:v>
                </c:pt>
                <c:pt idx="14">
                  <c:v>RACK DE PISO 19" - ABERTO - 44U X 450MM - FORNECIMENTO E INSTALAÇÃO</c:v>
                </c:pt>
                <c:pt idx="15">
                  <c:v>ELETROCALHA METÁLICA PERFURADA TIPO U 200X100MM  - FORNECIMENTO E INSTALAÇÃO</c:v>
                </c:pt>
                <c:pt idx="16">
                  <c:v>RACK DE PAREDE 19" 16U X 570MM FECHADO, PORTA ACRÍLICO - FORNECIMENTO E INSTALAÇÃO</c:v>
                </c:pt>
                <c:pt idx="17">
                  <c:v>PLACA COM 1 MÓDULO - RJ45 - PARA PORTA EQUIPAMENTO DA CANALETA DE ALUMÍNIO - FORNECIMENTO E INSTALAÇÃO</c:v>
                </c:pt>
                <c:pt idx="18">
                  <c:v>PLACA COM 2 MÓDULOS - RJ45 - PARA PORTA EQUIPAMENTO DA CANALETA DE ALUMÍNIO - FORNECIMENTO E INSTALAÇÃO</c:v>
                </c:pt>
                <c:pt idx="19">
                  <c:v>ELETROCALHA METÁLICA PERFURADA TIPO U 200X50MM - FORNECIMENTO E INSTALAÇÃO</c:v>
                </c:pt>
                <c:pt idx="20">
                  <c:v>PERFILADO GALVANIZADO À FOGO 38X38X6000MM - FORNECIMENTO E INSTALAÇÃO</c:v>
                </c:pt>
                <c:pt idx="21">
                  <c:v>CONECTOR MACHO RJ - 45, CATEGORIA 6 - FORNECIMENTO E INSTALAÇÃO</c:v>
                </c:pt>
                <c:pt idx="22">
                  <c:v>TOMADA DE REDE COM 1 MÓDULO - RJ45 - PARA CAIXA DE EMBUTIR 4X2" - FORNECIMENTO E INSTALAÇÃO</c:v>
                </c:pt>
                <c:pt idx="23">
                  <c:v>MÓDULO GBIC SFP - BI-DIRECIONAL - FORNECIMENTO E INSTALAÇÃO</c:v>
                </c:pt>
                <c:pt idx="24">
                  <c:v>DIO 19" 6FO MÍNIMO - MONOMODO -  COM CONECTOR SC - FORNECIMENTO E INSTALAÇÃO</c:v>
                </c:pt>
                <c:pt idx="25">
                  <c:v>GANCHO CURTO PARA PERFILADO 44X32MM - FORNECIMENTO E INSTALAÇÃO</c:v>
                </c:pt>
                <c:pt idx="26">
                  <c:v>CAIXA DE DERIVAÇÃO PARA CANALETA 73X25MM - FORNECIMENTO E INSTALAÇÃO</c:v>
                </c:pt>
                <c:pt idx="27">
                  <c:v>ELETRODUTO FLEXÍVEL CORRUGADO, PVC, DN 25 MM (3/4"), PARA CIRCUITOS TERMINAIS, INSTALADO EM FORRO - FORNECIMENTO E INSTALAÇÃO. AF_12/2015</c:v>
                </c:pt>
                <c:pt idx="28">
                  <c:v>ESCAVAÇÃO MANUAL DE VALA COM PROFUNDIDADE MENOR OU IGUAL A 1,30 M. AF_02/2021</c:v>
                </c:pt>
                <c:pt idx="29">
                  <c:v>ELETRODUTO DE AÇO GALVANIZADO, CLASSE LEVE, DN 20 MM (3/4), APARENTE , INSTALADO EM PAREDE - FORNECIMENTO E INSTALAÇÃO. AF_11/2016_P</c:v>
                </c:pt>
                <c:pt idx="30">
                  <c:v>ELETROCALHA METÁLICA PERFURADA TIPO U 100X50MM - FORNECIMENTO E INSTALAÇÃO</c:v>
                </c:pt>
                <c:pt idx="31">
                  <c:v>RACK DE PISO 19" - PORTA ACRÍLICO - 22U X 670MM - FORNECIMENTO E INSTALAÇÃO</c:v>
                </c:pt>
                <c:pt idx="32">
                  <c:v>FIXAÇÃO DE ELETROCALHA 200X50, EM LAJE, COM BARRA ROSCADA - FORNECIMENTO E INSTALAÇÃO</c:v>
                </c:pt>
                <c:pt idx="33">
                  <c:v>FIXAÇÃO DE ELETROCALHA 200X100, EM LAJE, COM BARRA ROSCADA - FORNECIMENTO E INSTALAÇÃO</c:v>
                </c:pt>
                <c:pt idx="34">
                  <c:v>FIBRA ÓPTICA - 6FO - MONOMODO - FORNECIMENTO E INSTALAÇÃO</c:v>
                </c:pt>
                <c:pt idx="35">
                  <c:v>REATERRO MANUAL APILOADO COM SOQUETE. AF_10/2017</c:v>
                </c:pt>
                <c:pt idx="36">
                  <c:v>ADAPTADOR CANALETA DE ALUMÍNIO 73X25MM PARA ELETRODUTO - FORNECIMENTO E INSTALAÇÃO</c:v>
                </c:pt>
                <c:pt idx="37">
                  <c:v>TALA PLANA PERFURADA 38MM - FORNECIMENTO E INSTALAÇÃO</c:v>
                </c:pt>
                <c:pt idx="38">
                  <c:v>RASGO EM ALVENARIA PARA RAMAIS/ DISTRIBUIÇÃO COM DIAMETROS MENORES OU IGUAIS A 40 MM. AF_05/2015</c:v>
                </c:pt>
                <c:pt idx="39">
                  <c:v>CURVA HORIZONTAL 90° PARA CANALETA DE ALUMÍNIO 73X25MM - FORNECIMENTO E INSTALAÇÃO</c:v>
                </c:pt>
                <c:pt idx="40">
                  <c:v>TOMADA DE REDE COM 1 MÓDULO - RJ45 - PARA CONDULETE DE ALUMÍNIO 3/4" - FORNECIMENTO E INSTALAÇÃO</c:v>
                </c:pt>
                <c:pt idx="41">
                  <c:v>FIBRA ÓPTICA - 48FO - MONOMODO - FORNECIMENTO E INSTALAÇÃO</c:v>
                </c:pt>
                <c:pt idx="42">
                  <c:v>GUIA DE CABOS FECHADO HORIZONTAL 19"X1U PRETO - FORNECIMENTO E INSTALAÇÃO</c:v>
                </c:pt>
                <c:pt idx="43">
                  <c:v>CURVA VERTICAL INTERNA  90° PARA CANALETA DE ALUMÍNIO 73X25MM - FORNECIMENTO E INSTALAÇÃO</c:v>
                </c:pt>
                <c:pt idx="44">
                  <c:v>CAIXA ENTERRADA ELÉTRICA RETANGULAR, EM ALVENARIA COM TIJOLOS CERÂMICOS MACIÇOS, FUNDO COM BRITA, DIMENSÕES INTERNAS: 0,4X0,4X0,4 M. AF_12/2020</c:v>
                </c:pt>
                <c:pt idx="45">
                  <c:v>TALA PLANA PERFURADA 50MM - FORNECIMENTO E INSTALAÇÃO</c:v>
                </c:pt>
                <c:pt idx="46">
                  <c:v>DIO 19" 48FO MÍNIMO - MONOMODO-  COM CONECTOR SC - FORNECIMENTO E INSTALAÇÃO</c:v>
                </c:pt>
                <c:pt idx="47">
                  <c:v>LIMPEZA DE PISO CERÂMICO OU PORCELANATO COM VASSOURA A SECO. AF_04/2019</c:v>
                </c:pt>
                <c:pt idx="48">
                  <c:v>PIGTAIL - CONECTOR SC - 1,5M - FORNECIMENTO E INSTALAÇÃO</c:v>
                </c:pt>
                <c:pt idx="49">
                  <c:v>PLACA DE FECHAMENTO CEGA - 1U - GABINETE PADRÃO 19" - FORNECIMENTO E INSTALAÇÃO</c:v>
                </c:pt>
                <c:pt idx="50">
                  <c:v>SAÍDA PERFILADO PARA ELETRODUTO 3/4" - FORNECIMENTO E INSTALAÇÃO</c:v>
                </c:pt>
                <c:pt idx="51">
                  <c:v>FIXAÇÃO DE ELETROCALHA 100X50, EM LAJE, COM BARRA ROSCADA - FORNECIMENTO E INSTALAÇÃO</c:v>
                </c:pt>
                <c:pt idx="52">
                  <c:v>ELETRODUTO DE AÇO GALVANIZADO, CLASSE LEVE, DN 25 MM (1), APARENTE, INSTALADO EM PAREDE - FORNECIMENTO E INSTALAÇÃO. AF_11/2016_P</c:v>
                </c:pt>
                <c:pt idx="53">
                  <c:v>PLACA CEGA - PARA CAIXA DE EMBUTIR 4X2" - FORNECIMENTO E INSTALAÇÃO</c:v>
                </c:pt>
                <c:pt idx="54">
                  <c:v>MONITOR LED 18,5", HD, WIDESCREEN - COM ENTRADA HDMI - FORNECIMENTO E INSTALAÇÃO</c:v>
                </c:pt>
                <c:pt idx="55">
                  <c:v>PLACA DE OBRA EM CHAPA DE ACO GALVANIZADO (1,50 X 1,50 M)</c:v>
                </c:pt>
                <c:pt idx="56">
                  <c:v>RÉGUA DE TOMADAS COM 10 TOMADAS PADRÃO BRASILEIRO PRETA - FORNECIMENTO E INSTALAÇÃO</c:v>
                </c:pt>
                <c:pt idx="57">
                  <c:v>RASGO EM CONTRAPISO PARA RAMAIS/ DISTRIBUIÇÃO COM DIÂMETROS MENORES OU IGUAIS A 40 MM. AF_05/2015</c:v>
                </c:pt>
                <c:pt idx="58">
                  <c:v>CURVA 90° HORIZONTAL ELETROCALHA 200X50MM - FORNECIMENTO E INSTALAÇÃO</c:v>
                </c:pt>
                <c:pt idx="59">
                  <c:v>ELETRODUTO FLEXÍVEL CORRUGADO, PVC, DN 32 MM (1"), PARA CIRCUITOS TERMINAIS, INSTALADO EM FORRO - FORNECIMENTO E INSTALAÇÃO. AF_12/2015</c:v>
                </c:pt>
                <c:pt idx="60">
                  <c:v>ELETRODUTO FLEXÍVEL CORRUGADO, PEAD, DN 50 (1 ½)  - FORNECIMENTO E INSTALAÇÃO. AF_04/2016</c:v>
                </c:pt>
              </c:strCache>
            </c:strRef>
          </c:cat>
          <c:val>
            <c:numRef>
              <c:f>'CURVA ABC'!$I$21:$I$81</c:f>
              <c:numCache>
                <c:formatCode>0.00%</c:formatCode>
                <c:ptCount val="61"/>
                <c:pt idx="0">
                  <c:v>0.107221217075802</c:v>
                </c:pt>
                <c:pt idx="1">
                  <c:v>0.21375575512978379</c:v>
                </c:pt>
                <c:pt idx="2">
                  <c:v>0.31932795860151431</c:v>
                </c:pt>
                <c:pt idx="3">
                  <c:v>0.41481631194536905</c:v>
                </c:pt>
                <c:pt idx="4">
                  <c:v>0.49400519225350337</c:v>
                </c:pt>
                <c:pt idx="5">
                  <c:v>0.55271765000489081</c:v>
                </c:pt>
                <c:pt idx="6">
                  <c:v>0.60142085905752085</c:v>
                </c:pt>
                <c:pt idx="7">
                  <c:v>0.64794907268738977</c:v>
                </c:pt>
                <c:pt idx="8">
                  <c:v>0.67680259169300583</c:v>
                </c:pt>
                <c:pt idx="9">
                  <c:v>0.69856280287170203</c:v>
                </c:pt>
                <c:pt idx="10">
                  <c:v>0.71616054054609313</c:v>
                </c:pt>
                <c:pt idx="11">
                  <c:v>0.73283315490263723</c:v>
                </c:pt>
                <c:pt idx="12">
                  <c:v>0.74688738432734614</c:v>
                </c:pt>
                <c:pt idx="13">
                  <c:v>0.76069652032785351</c:v>
                </c:pt>
                <c:pt idx="14">
                  <c:v>0.77433400148126497</c:v>
                </c:pt>
                <c:pt idx="15">
                  <c:v>0.78705821146234278</c:v>
                </c:pt>
                <c:pt idx="16">
                  <c:v>0.79923558283029938</c:v>
                </c:pt>
                <c:pt idx="17">
                  <c:v>0.81136019351527244</c:v>
                </c:pt>
                <c:pt idx="18">
                  <c:v>0.82342663178289544</c:v>
                </c:pt>
                <c:pt idx="19">
                  <c:v>0.83514142658356938</c:v>
                </c:pt>
                <c:pt idx="20">
                  <c:v>0.84474899936211612</c:v>
                </c:pt>
                <c:pt idx="21">
                  <c:v>0.85423108848181228</c:v>
                </c:pt>
                <c:pt idx="22">
                  <c:v>0.86319414307817643</c:v>
                </c:pt>
                <c:pt idx="23">
                  <c:v>0.8719488086305327</c:v>
                </c:pt>
                <c:pt idx="24">
                  <c:v>0.88037231480139322</c:v>
                </c:pt>
                <c:pt idx="25">
                  <c:v>0.88843606735793457</c:v>
                </c:pt>
                <c:pt idx="26">
                  <c:v>0.89557356356133455</c:v>
                </c:pt>
                <c:pt idx="27">
                  <c:v>0.90245907867861197</c:v>
                </c:pt>
                <c:pt idx="28">
                  <c:v>0.90854768236661498</c:v>
                </c:pt>
                <c:pt idx="29">
                  <c:v>0.91375001392068034</c:v>
                </c:pt>
                <c:pt idx="30">
                  <c:v>0.91830565067212921</c:v>
                </c:pt>
                <c:pt idx="31">
                  <c:v>0.92276389111334034</c:v>
                </c:pt>
                <c:pt idx="32">
                  <c:v>0.92696127999474276</c:v>
                </c:pt>
                <c:pt idx="33">
                  <c:v>0.93075949756026943</c:v>
                </c:pt>
                <c:pt idx="34">
                  <c:v>0.93451120104529073</c:v>
                </c:pt>
                <c:pt idx="35">
                  <c:v>0.93820216787519051</c:v>
                </c:pt>
                <c:pt idx="36">
                  <c:v>0.94159062918985459</c:v>
                </c:pt>
                <c:pt idx="37">
                  <c:v>0.9447826579645382</c:v>
                </c:pt>
                <c:pt idx="38">
                  <c:v>0.94791187782218034</c:v>
                </c:pt>
                <c:pt idx="39">
                  <c:v>0.95099722237888418</c:v>
                </c:pt>
                <c:pt idx="40">
                  <c:v>0.95376570467050414</c:v>
                </c:pt>
                <c:pt idx="41">
                  <c:v>0.9565022383484949</c:v>
                </c:pt>
                <c:pt idx="42">
                  <c:v>0.95913319102708205</c:v>
                </c:pt>
                <c:pt idx="43">
                  <c:v>0.96162810492855</c:v>
                </c:pt>
                <c:pt idx="44">
                  <c:v>0.96394724927580044</c:v>
                </c:pt>
                <c:pt idx="45">
                  <c:v>0.96626624453945942</c:v>
                </c:pt>
                <c:pt idx="46">
                  <c:v>0.96853222567802955</c:v>
                </c:pt>
                <c:pt idx="47">
                  <c:v>0.97070261441781747</c:v>
                </c:pt>
                <c:pt idx="48">
                  <c:v>0.97269213494456319</c:v>
                </c:pt>
                <c:pt idx="49">
                  <c:v>0.97460793363537968</c:v>
                </c:pt>
                <c:pt idx="50">
                  <c:v>0.97650162322959699</c:v>
                </c:pt>
                <c:pt idx="51">
                  <c:v>0.97817945469187906</c:v>
                </c:pt>
                <c:pt idx="52">
                  <c:v>0.97980655300802011</c:v>
                </c:pt>
                <c:pt idx="53">
                  <c:v>0.98133303480834999</c:v>
                </c:pt>
                <c:pt idx="54">
                  <c:v>0.98274575092011041</c:v>
                </c:pt>
                <c:pt idx="55">
                  <c:v>0.98412650350988251</c:v>
                </c:pt>
                <c:pt idx="56">
                  <c:v>0.98543259503709979</c:v>
                </c:pt>
                <c:pt idx="57">
                  <c:v>0.98672537339960831</c:v>
                </c:pt>
                <c:pt idx="58">
                  <c:v>0.9878659970487712</c:v>
                </c:pt>
                <c:pt idx="59">
                  <c:v>0.98897652072083786</c:v>
                </c:pt>
                <c:pt idx="60">
                  <c:v>0.99003692248948805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4-408C-9EA6-72CC32C10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225232"/>
        <c:axId val="590231056"/>
      </c:lineChart>
      <c:catAx>
        <c:axId val="590225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231056"/>
        <c:crosses val="autoZero"/>
        <c:auto val="1"/>
        <c:lblAlgn val="ctr"/>
        <c:lblOffset val="100"/>
        <c:noMultiLvlLbl val="0"/>
      </c:catAx>
      <c:valAx>
        <c:axId val="59023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22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S - FÍSICO-FINANCEIRO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9831758530183724"/>
          <c:y val="0.16708333333333336"/>
          <c:w val="0.77112685914260715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CRONOGRAMA!$A$17</c:f>
              <c:strCache>
                <c:ptCount val="1"/>
                <c:pt idx="0">
                  <c:v>TOTAL ACUMULADO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(CRONOGRAMA!$F$11,CRONOGRAMA!$H$11,CRONOGRAMA!$J$11)</c:f>
              <c:strCache>
                <c:ptCount val="3"/>
                <c:pt idx="0">
                  <c:v> MÊS 01 </c:v>
                </c:pt>
                <c:pt idx="1">
                  <c:v> MÊS 02 </c:v>
                </c:pt>
                <c:pt idx="2">
                  <c:v> MÊS 03 </c:v>
                </c:pt>
              </c:strCache>
            </c:strRef>
          </c:cat>
          <c:val>
            <c:numRef>
              <c:f>(CRONOGRAMA!$F$17,CRONOGRAMA!$H$17,CRONOGRAMA!$J$17)</c:f>
              <c:numCache>
                <c:formatCode>_("R$"* #,##0.00_);_("R$"* \(#,##0.00\);_("R$"* "-"??_);_(@_)</c:formatCode>
                <c:ptCount val="3"/>
                <c:pt idx="0">
                  <c:v>235184.61199999999</c:v>
                </c:pt>
                <c:pt idx="1">
                  <c:v>411573.07099999994</c:v>
                </c:pt>
                <c:pt idx="2">
                  <c:v>670764.62999999989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F-4D5E-908C-60289909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626319"/>
        <c:axId val="1876620495"/>
      </c:lineChart>
      <c:catAx>
        <c:axId val="187662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6620495"/>
        <c:crosses val="autoZero"/>
        <c:auto val="1"/>
        <c:lblAlgn val="ctr"/>
        <c:lblOffset val="100"/>
        <c:noMultiLvlLbl val="0"/>
      </c:catAx>
      <c:valAx>
        <c:axId val="187662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662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156210</xdr:rowOff>
    </xdr:from>
    <xdr:to>
      <xdr:col>10</xdr:col>
      <xdr:colOff>535304</xdr:colOff>
      <xdr:row>5</xdr:row>
      <xdr:rowOff>99060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49"/>
        <a:stretch/>
      </xdr:blipFill>
      <xdr:spPr>
        <a:xfrm>
          <a:off x="85725" y="156210"/>
          <a:ext cx="6728459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43</xdr:row>
      <xdr:rowOff>129540</xdr:rowOff>
    </xdr:from>
    <xdr:to>
      <xdr:col>10</xdr:col>
      <xdr:colOff>533400</xdr:colOff>
      <xdr:row>49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8534400"/>
          <a:ext cx="672084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0</xdr:rowOff>
    </xdr:from>
    <xdr:to>
      <xdr:col>10</xdr:col>
      <xdr:colOff>542925</xdr:colOff>
      <xdr:row>7</xdr:row>
      <xdr:rowOff>104775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49"/>
        <a:stretch/>
      </xdr:blipFill>
      <xdr:spPr>
        <a:xfrm>
          <a:off x="66674" y="0"/>
          <a:ext cx="8486776" cy="123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585774</xdr:colOff>
      <xdr:row>110</xdr:row>
      <xdr:rowOff>90224</xdr:rowOff>
    </xdr:from>
    <xdr:to>
      <xdr:col>8</xdr:col>
      <xdr:colOff>11112</xdr:colOff>
      <xdr:row>125</xdr:row>
      <xdr:rowOff>109275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285750</xdr:colOff>
      <xdr:row>0</xdr:row>
      <xdr:rowOff>0</xdr:rowOff>
    </xdr:from>
    <xdr:to>
      <xdr:col>9</xdr:col>
      <xdr:colOff>701728</xdr:colOff>
      <xdr:row>7</xdr:row>
      <xdr:rowOff>399044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49"/>
        <a:stretch/>
      </xdr:blipFill>
      <xdr:spPr>
        <a:xfrm>
          <a:off x="285750" y="0"/>
          <a:ext cx="10882048" cy="16330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30481</xdr:rowOff>
    </xdr:from>
    <xdr:to>
      <xdr:col>8</xdr:col>
      <xdr:colOff>512445</xdr:colOff>
      <xdr:row>8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20" b="20749"/>
        <a:stretch/>
      </xdr:blipFill>
      <xdr:spPr>
        <a:xfrm>
          <a:off x="396240" y="30481"/>
          <a:ext cx="10713720" cy="13868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112058</xdr:colOff>
      <xdr:row>0</xdr:row>
      <xdr:rowOff>78442</xdr:rowOff>
    </xdr:from>
    <xdr:to>
      <xdr:col>7</xdr:col>
      <xdr:colOff>859042</xdr:colOff>
      <xdr:row>7</xdr:row>
      <xdr:rowOff>478043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20" b="20749"/>
        <a:stretch/>
      </xdr:blipFill>
      <xdr:spPr>
        <a:xfrm>
          <a:off x="112058" y="78442"/>
          <a:ext cx="10600765" cy="15015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1638301</xdr:colOff>
      <xdr:row>19</xdr:row>
      <xdr:rowOff>57150</xdr:rowOff>
    </xdr:from>
    <xdr:to>
      <xdr:col>8</xdr:col>
      <xdr:colOff>8467</xdr:colOff>
      <xdr:row>33</xdr:row>
      <xdr:rowOff>124884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539751</xdr:colOff>
      <xdr:row>0</xdr:row>
      <xdr:rowOff>52917</xdr:rowOff>
    </xdr:from>
    <xdr:to>
      <xdr:col>12</xdr:col>
      <xdr:colOff>42526</xdr:colOff>
      <xdr:row>2</xdr:row>
      <xdr:rowOff>1444722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20" b="20749"/>
        <a:stretch/>
      </xdr:blipFill>
      <xdr:spPr>
        <a:xfrm>
          <a:off x="539751" y="52917"/>
          <a:ext cx="12213166" cy="1714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9526</xdr:rowOff>
    </xdr:from>
    <xdr:to>
      <xdr:col>6</xdr:col>
      <xdr:colOff>929640</xdr:colOff>
      <xdr:row>7</xdr:row>
      <xdr:rowOff>53341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13" b="20749"/>
        <a:stretch/>
      </xdr:blipFill>
      <xdr:spPr>
        <a:xfrm>
          <a:off x="133350" y="9526"/>
          <a:ext cx="11001375" cy="1371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76200</xdr:rowOff>
    </xdr:from>
    <xdr:to>
      <xdr:col>7</xdr:col>
      <xdr:colOff>904875</xdr:colOff>
      <xdr:row>6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20" b="20749"/>
        <a:stretch/>
      </xdr:blipFill>
      <xdr:spPr>
        <a:xfrm>
          <a:off x="133351" y="76200"/>
          <a:ext cx="8982074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76200</xdr:rowOff>
    </xdr:from>
    <xdr:to>
      <xdr:col>7</xdr:col>
      <xdr:colOff>904875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20" b="20749"/>
        <a:stretch/>
      </xdr:blipFill>
      <xdr:spPr>
        <a:xfrm>
          <a:off x="133351" y="76200"/>
          <a:ext cx="8982074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showGridLines="0" view="pageBreakPreview" zoomScale="130" zoomScaleNormal="100" zoomScaleSheetLayoutView="130" workbookViewId="0">
      <selection activeCell="A24" sqref="A24:K27"/>
    </sheetView>
  </sheetViews>
  <sheetFormatPr defaultColWidth="8.88671875" defaultRowHeight="14.4" x14ac:dyDescent="0.3"/>
  <cols>
    <col min="1" max="4" width="8.88671875" style="3"/>
    <col min="5" max="5" width="8.88671875" style="3" customWidth="1"/>
    <col min="6" max="6" width="11.5546875" style="3" customWidth="1"/>
    <col min="7" max="16384" width="8.88671875" style="3"/>
  </cols>
  <sheetData>
    <row r="1" spans="1:11" ht="15.6" x14ac:dyDescent="0.3">
      <c r="A1" s="6"/>
      <c r="B1" s="7"/>
      <c r="C1" s="7"/>
      <c r="D1" s="7"/>
      <c r="E1" s="7"/>
      <c r="F1" s="7"/>
      <c r="G1" s="7"/>
      <c r="H1" s="7"/>
      <c r="I1" s="7"/>
      <c r="J1" s="8"/>
      <c r="K1" s="9"/>
    </row>
    <row r="2" spans="1:11" ht="15.6" x14ac:dyDescent="0.3">
      <c r="A2" s="10"/>
      <c r="B2" s="4"/>
      <c r="C2" s="4"/>
      <c r="D2" s="4"/>
      <c r="E2" s="4"/>
      <c r="F2" s="4"/>
      <c r="G2" s="4"/>
      <c r="H2" s="4"/>
      <c r="I2" s="4"/>
      <c r="J2" s="5"/>
      <c r="K2" s="11"/>
    </row>
    <row r="3" spans="1:11" ht="15.6" x14ac:dyDescent="0.3">
      <c r="A3" s="10"/>
      <c r="B3" s="4"/>
      <c r="C3" s="4"/>
      <c r="D3" s="4"/>
      <c r="E3" s="4"/>
      <c r="F3" s="4"/>
      <c r="G3" s="4"/>
      <c r="H3" s="4"/>
      <c r="I3" s="4"/>
      <c r="J3" s="5"/>
      <c r="K3" s="11"/>
    </row>
    <row r="4" spans="1:11" ht="15.6" x14ac:dyDescent="0.3">
      <c r="A4" s="10"/>
      <c r="B4" s="4"/>
      <c r="C4" s="4"/>
      <c r="D4" s="4"/>
      <c r="E4" s="4"/>
      <c r="F4" s="4"/>
      <c r="G4" s="4"/>
      <c r="H4" s="4"/>
      <c r="I4" s="4"/>
      <c r="J4" s="5"/>
      <c r="K4" s="11"/>
    </row>
    <row r="5" spans="1:11" ht="15.6" x14ac:dyDescent="0.3">
      <c r="A5" s="10"/>
      <c r="B5" s="4"/>
      <c r="C5" s="4"/>
      <c r="D5" s="4"/>
      <c r="E5" s="4"/>
      <c r="F5" s="4"/>
      <c r="G5" s="4"/>
      <c r="H5" s="4"/>
      <c r="I5" s="4"/>
      <c r="J5" s="5"/>
      <c r="K5" s="11"/>
    </row>
    <row r="6" spans="1:11" ht="15.6" x14ac:dyDescent="0.3">
      <c r="A6" s="10"/>
      <c r="B6" s="4"/>
      <c r="C6" s="4"/>
      <c r="D6" s="4"/>
      <c r="E6" s="4"/>
      <c r="F6" s="4"/>
      <c r="G6" s="4"/>
      <c r="H6" s="4"/>
      <c r="I6" s="4"/>
      <c r="J6" s="5"/>
      <c r="K6" s="11"/>
    </row>
    <row r="7" spans="1:11" ht="16.2" thickBot="1" x14ac:dyDescent="0.35">
      <c r="A7" s="13"/>
      <c r="B7" s="14"/>
      <c r="C7" s="14"/>
      <c r="D7" s="14"/>
      <c r="E7" s="14"/>
      <c r="F7" s="14"/>
      <c r="G7" s="14"/>
      <c r="H7" s="14"/>
      <c r="I7" s="14"/>
      <c r="J7" s="15"/>
      <c r="K7" s="16"/>
    </row>
    <row r="8" spans="1:11" ht="15.6" customHeight="1" x14ac:dyDescent="0.3">
      <c r="A8" s="265" t="s">
        <v>14</v>
      </c>
      <c r="B8" s="266"/>
      <c r="C8" s="266"/>
      <c r="D8" s="266"/>
      <c r="E8" s="266"/>
      <c r="F8" s="266"/>
      <c r="G8" s="266"/>
      <c r="H8" s="266"/>
      <c r="I8" s="266"/>
      <c r="J8" s="266"/>
      <c r="K8" s="267"/>
    </row>
    <row r="9" spans="1:11" ht="15" thickBot="1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1"/>
    </row>
    <row r="10" spans="1:11" ht="15.6" x14ac:dyDescent="0.3">
      <c r="A10" s="268" t="s">
        <v>5</v>
      </c>
      <c r="B10" s="269"/>
      <c r="C10" s="269"/>
      <c r="D10" s="274" t="s">
        <v>602</v>
      </c>
      <c r="E10" s="274"/>
      <c r="F10" s="274"/>
      <c r="G10" s="274"/>
      <c r="H10" s="274"/>
      <c r="I10" s="274"/>
      <c r="J10" s="274"/>
      <c r="K10" s="275"/>
    </row>
    <row r="11" spans="1:11" ht="15.6" x14ac:dyDescent="0.3">
      <c r="A11" s="270" t="s">
        <v>7</v>
      </c>
      <c r="B11" s="271"/>
      <c r="C11" s="271"/>
      <c r="D11" s="243" t="s">
        <v>218</v>
      </c>
      <c r="E11" s="243"/>
      <c r="F11" s="243"/>
      <c r="G11" s="243"/>
      <c r="H11" s="243"/>
      <c r="I11" s="243"/>
      <c r="J11" s="243"/>
      <c r="K11" s="244"/>
    </row>
    <row r="12" spans="1:11" ht="15.6" x14ac:dyDescent="0.3">
      <c r="A12" s="270" t="s">
        <v>15</v>
      </c>
      <c r="B12" s="271"/>
      <c r="C12" s="271"/>
      <c r="D12" s="245" t="s">
        <v>219</v>
      </c>
      <c r="E12" s="245"/>
      <c r="F12" s="245"/>
      <c r="G12" s="245"/>
      <c r="H12" s="245"/>
      <c r="I12" s="245"/>
      <c r="J12" s="245"/>
      <c r="K12" s="246"/>
    </row>
    <row r="13" spans="1:11" ht="15.75" customHeight="1" x14ac:dyDescent="0.3">
      <c r="A13" s="253" t="s">
        <v>8</v>
      </c>
      <c r="B13" s="254"/>
      <c r="C13" s="254"/>
      <c r="D13" s="255" t="s">
        <v>328</v>
      </c>
      <c r="E13" s="255"/>
      <c r="F13" s="255"/>
      <c r="G13" s="255"/>
      <c r="H13" s="255"/>
      <c r="I13" s="255"/>
      <c r="J13" s="255"/>
      <c r="K13" s="256"/>
    </row>
    <row r="14" spans="1:11" ht="20.25" customHeight="1" thickBot="1" x14ac:dyDescent="0.35">
      <c r="A14" s="272"/>
      <c r="B14" s="273"/>
      <c r="C14" s="273"/>
      <c r="D14" s="257"/>
      <c r="E14" s="257"/>
      <c r="F14" s="257"/>
      <c r="G14" s="257"/>
      <c r="H14" s="257"/>
      <c r="I14" s="257"/>
      <c r="J14" s="257"/>
      <c r="K14" s="258"/>
    </row>
    <row r="15" spans="1:11" ht="15" customHeight="1" x14ac:dyDescent="0.3">
      <c r="A15" s="259" t="s">
        <v>16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spans="1:11" ht="15" customHeight="1" x14ac:dyDescent="0.3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spans="1:11" ht="15" customHeight="1" x14ac:dyDescent="0.3">
      <c r="A17" s="259"/>
      <c r="B17" s="260"/>
      <c r="C17" s="260"/>
      <c r="D17" s="260"/>
      <c r="E17" s="260"/>
      <c r="F17" s="260"/>
      <c r="G17" s="260"/>
      <c r="H17" s="260"/>
      <c r="I17" s="260"/>
      <c r="J17" s="260"/>
      <c r="K17" s="261"/>
    </row>
    <row r="18" spans="1:11" ht="15" customHeight="1" x14ac:dyDescent="0.3">
      <c r="A18" s="259"/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spans="1:11" ht="15.75" customHeight="1" thickBot="1" x14ac:dyDescent="0.35">
      <c r="A19" s="262"/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11" ht="15.6" x14ac:dyDescent="0.3">
      <c r="A20" s="238" t="s">
        <v>43</v>
      </c>
      <c r="B20" s="239"/>
      <c r="C20" s="239"/>
      <c r="D20" s="247">
        <f>'BDI - SERVIÇO'!G29</f>
        <v>0.28347674918197008</v>
      </c>
      <c r="E20" s="247"/>
      <c r="F20" s="269" t="s">
        <v>17</v>
      </c>
      <c r="G20" s="269"/>
      <c r="H20" s="269"/>
      <c r="I20" s="252" t="s">
        <v>544</v>
      </c>
      <c r="J20" s="252"/>
      <c r="K20" s="213"/>
    </row>
    <row r="21" spans="1:11" ht="15.6" x14ac:dyDescent="0.3">
      <c r="A21" s="238" t="s">
        <v>442</v>
      </c>
      <c r="B21" s="239"/>
      <c r="C21" s="239"/>
      <c r="D21" s="214">
        <f>'BDI - EQUPAMENTOS'!H33</f>
        <v>0.19073600489929232</v>
      </c>
      <c r="E21" s="5"/>
      <c r="F21" s="271" t="s">
        <v>18</v>
      </c>
      <c r="G21" s="271"/>
      <c r="H21" s="271"/>
      <c r="I21" s="243" t="s">
        <v>118</v>
      </c>
      <c r="J21" s="243"/>
      <c r="K21" s="244"/>
    </row>
    <row r="22" spans="1:11" ht="15.6" x14ac:dyDescent="0.3">
      <c r="A22" s="238" t="s">
        <v>19</v>
      </c>
      <c r="B22" s="239"/>
      <c r="C22" s="239"/>
      <c r="D22" s="248" t="s">
        <v>23</v>
      </c>
      <c r="E22" s="248"/>
      <c r="F22" s="271" t="s">
        <v>20</v>
      </c>
      <c r="G22" s="271"/>
      <c r="H22" s="271"/>
      <c r="I22" s="245" t="s">
        <v>97</v>
      </c>
      <c r="J22" s="245"/>
      <c r="K22" s="246"/>
    </row>
    <row r="23" spans="1:11" ht="16.2" thickBot="1" x14ac:dyDescent="0.35">
      <c r="A23" s="12"/>
      <c r="B23" s="193"/>
      <c r="C23" s="192" t="s">
        <v>21</v>
      </c>
      <c r="D23" s="197" t="s">
        <v>603</v>
      </c>
      <c r="E23" s="197"/>
      <c r="F23" s="14"/>
      <c r="G23" s="14"/>
      <c r="H23" s="14"/>
      <c r="I23" s="14"/>
      <c r="J23" s="15"/>
      <c r="K23" s="16"/>
    </row>
    <row r="24" spans="1:11" ht="15.6" customHeight="1" x14ac:dyDescent="0.3">
      <c r="A24" s="265" t="s">
        <v>59</v>
      </c>
      <c r="B24" s="266"/>
      <c r="C24" s="266"/>
      <c r="D24" s="266"/>
      <c r="E24" s="266"/>
      <c r="F24" s="266"/>
      <c r="G24" s="266"/>
      <c r="H24" s="266"/>
      <c r="I24" s="266"/>
      <c r="J24" s="266"/>
      <c r="K24" s="267"/>
    </row>
    <row r="25" spans="1:11" x14ac:dyDescent="0.3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spans="1:11" x14ac:dyDescent="0.3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1"/>
    </row>
    <row r="27" spans="1:11" ht="15" thickBot="1" x14ac:dyDescent="0.35">
      <c r="A27" s="262"/>
      <c r="B27" s="263"/>
      <c r="C27" s="263"/>
      <c r="D27" s="263"/>
      <c r="E27" s="263"/>
      <c r="F27" s="263"/>
      <c r="G27" s="263"/>
      <c r="H27" s="263"/>
      <c r="I27" s="263"/>
      <c r="J27" s="263"/>
      <c r="K27" s="264"/>
    </row>
    <row r="28" spans="1:11" ht="15.6" x14ac:dyDescent="0.3">
      <c r="A28" s="10"/>
      <c r="B28" s="4"/>
      <c r="C28" s="4"/>
      <c r="D28" s="4"/>
      <c r="E28" s="4"/>
      <c r="F28" s="4"/>
      <c r="G28" s="4"/>
      <c r="H28" s="4"/>
      <c r="I28" s="4"/>
      <c r="J28" s="5"/>
      <c r="K28" s="11"/>
    </row>
    <row r="29" spans="1:11" ht="15.6" x14ac:dyDescent="0.3">
      <c r="A29" s="10"/>
      <c r="B29" s="4"/>
      <c r="C29" s="4"/>
      <c r="D29" s="4"/>
      <c r="E29" s="4"/>
      <c r="F29" s="4"/>
      <c r="G29" s="4"/>
      <c r="H29" s="4"/>
      <c r="I29" s="4"/>
      <c r="J29" s="5"/>
      <c r="K29" s="11"/>
    </row>
    <row r="30" spans="1:11" ht="15.6" x14ac:dyDescent="0.3">
      <c r="A30" s="10"/>
      <c r="B30" s="4"/>
      <c r="C30" s="4"/>
      <c r="D30" s="4"/>
      <c r="E30" s="4"/>
      <c r="F30" s="4"/>
      <c r="G30" s="4"/>
      <c r="H30" s="4"/>
      <c r="I30" s="4"/>
      <c r="J30" s="5"/>
      <c r="K30" s="11"/>
    </row>
    <row r="31" spans="1:11" ht="15.6" x14ac:dyDescent="0.3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1:11" x14ac:dyDescent="0.3">
      <c r="A32" s="12"/>
      <c r="B32" s="5"/>
      <c r="C32" s="5"/>
      <c r="D32" s="5"/>
      <c r="E32" s="5"/>
      <c r="F32" s="5"/>
      <c r="G32" s="5"/>
      <c r="H32" s="5"/>
      <c r="I32" s="5"/>
      <c r="J32" s="5"/>
      <c r="K32" s="11"/>
    </row>
    <row r="33" spans="1:11" x14ac:dyDescent="0.3">
      <c r="A33" s="12"/>
      <c r="B33" s="5"/>
      <c r="C33" s="5"/>
      <c r="D33" s="5"/>
      <c r="E33" s="5"/>
      <c r="F33" s="5"/>
      <c r="G33" s="5"/>
      <c r="H33" s="5"/>
      <c r="I33" s="5"/>
      <c r="J33" s="5"/>
      <c r="K33" s="11"/>
    </row>
    <row r="34" spans="1:11" x14ac:dyDescent="0.3">
      <c r="A34" s="12"/>
      <c r="B34" s="5"/>
      <c r="C34" s="5"/>
      <c r="D34" s="5"/>
      <c r="E34" s="5"/>
      <c r="F34" s="5"/>
      <c r="G34" s="5"/>
      <c r="H34" s="5"/>
      <c r="I34" s="5"/>
      <c r="J34" s="5"/>
      <c r="K34" s="11"/>
    </row>
    <row r="35" spans="1:11" x14ac:dyDescent="0.3">
      <c r="A35" s="12"/>
      <c r="B35" s="5"/>
      <c r="C35" s="5"/>
      <c r="D35" s="5"/>
      <c r="E35" s="5"/>
      <c r="F35" s="5"/>
      <c r="G35" s="5"/>
      <c r="H35" s="5"/>
      <c r="I35" s="5"/>
      <c r="J35" s="5"/>
      <c r="K35" s="11"/>
    </row>
    <row r="36" spans="1:11" x14ac:dyDescent="0.3">
      <c r="A36" s="12"/>
      <c r="B36" s="5"/>
      <c r="C36" s="5"/>
      <c r="D36" s="5"/>
      <c r="E36" s="5"/>
      <c r="F36" s="5"/>
      <c r="G36" s="5"/>
      <c r="H36" s="5"/>
      <c r="I36" s="5"/>
      <c r="J36" s="5"/>
      <c r="K36" s="11"/>
    </row>
    <row r="37" spans="1:11" ht="15.6" x14ac:dyDescent="0.3">
      <c r="A37" s="10"/>
      <c r="B37" s="4"/>
      <c r="C37" s="4"/>
      <c r="D37" s="4"/>
      <c r="E37" s="4"/>
      <c r="F37" s="4"/>
      <c r="G37" s="4"/>
      <c r="H37" s="4"/>
      <c r="I37" s="4"/>
      <c r="J37" s="5"/>
      <c r="K37" s="11"/>
    </row>
    <row r="38" spans="1:11" x14ac:dyDescent="0.3">
      <c r="A38" s="12"/>
      <c r="B38" s="5"/>
      <c r="C38" s="5"/>
      <c r="D38" s="5"/>
      <c r="E38" s="5"/>
      <c r="F38" s="5"/>
      <c r="G38" s="5"/>
      <c r="H38" s="5"/>
      <c r="I38" s="5"/>
      <c r="J38" s="5"/>
      <c r="K38" s="11"/>
    </row>
    <row r="39" spans="1:11" x14ac:dyDescent="0.3">
      <c r="A39" s="12"/>
      <c r="B39" s="5"/>
      <c r="C39" s="5"/>
      <c r="D39" s="5"/>
      <c r="E39" s="5"/>
      <c r="F39" s="5"/>
      <c r="G39" s="5"/>
      <c r="H39" s="5"/>
      <c r="I39" s="5"/>
      <c r="J39" s="5"/>
      <c r="K39" s="11"/>
    </row>
    <row r="40" spans="1:11" ht="15.6" x14ac:dyDescent="0.3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5.6" x14ac:dyDescent="0.3">
      <c r="A41" s="240" t="s">
        <v>22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5.6" x14ac:dyDescent="0.3">
      <c r="A42" s="249" t="s">
        <v>220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5.6" x14ac:dyDescent="0.3">
      <c r="A43" s="240" t="s">
        <v>221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5.6" x14ac:dyDescent="0.3">
      <c r="A44" s="240" t="s">
        <v>222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2"/>
    </row>
    <row r="45" spans="1:11" x14ac:dyDescent="0.3">
      <c r="A45" s="12"/>
      <c r="B45" s="5"/>
      <c r="C45" s="5"/>
      <c r="D45" s="5"/>
      <c r="E45" s="5"/>
      <c r="F45" s="5"/>
      <c r="G45" s="5"/>
      <c r="H45" s="5"/>
      <c r="I45" s="5"/>
      <c r="J45" s="5"/>
      <c r="K45" s="11"/>
    </row>
    <row r="46" spans="1:11" x14ac:dyDescent="0.3">
      <c r="A46" s="12"/>
      <c r="B46" s="5"/>
      <c r="C46" s="5"/>
      <c r="D46" s="5"/>
      <c r="E46" s="5"/>
      <c r="F46" s="5"/>
      <c r="G46" s="5"/>
      <c r="H46" s="5"/>
      <c r="I46" s="5"/>
      <c r="J46" s="5"/>
      <c r="K46" s="11"/>
    </row>
    <row r="47" spans="1:11" ht="15.6" x14ac:dyDescent="0.3">
      <c r="A47" s="10"/>
      <c r="B47" s="4"/>
      <c r="C47" s="4"/>
      <c r="D47" s="4"/>
      <c r="E47" s="4"/>
      <c r="F47" s="4"/>
      <c r="G47" s="4"/>
      <c r="H47" s="4"/>
      <c r="I47" s="4"/>
      <c r="J47" s="5"/>
      <c r="K47" s="11"/>
    </row>
    <row r="48" spans="1:11" ht="15.6" x14ac:dyDescent="0.3">
      <c r="A48" s="10"/>
      <c r="B48" s="4"/>
      <c r="C48" s="4"/>
      <c r="D48" s="4"/>
      <c r="E48" s="4"/>
      <c r="F48" s="4"/>
      <c r="G48" s="4"/>
      <c r="H48" s="4"/>
      <c r="I48" s="4"/>
      <c r="J48" s="5"/>
      <c r="K48" s="11"/>
    </row>
    <row r="49" spans="1:11" ht="15.6" x14ac:dyDescent="0.3">
      <c r="A49" s="10"/>
      <c r="B49" s="4"/>
      <c r="C49" s="4"/>
      <c r="D49" s="4"/>
      <c r="E49" s="4"/>
      <c r="F49" s="4"/>
      <c r="G49" s="4"/>
      <c r="H49" s="4"/>
      <c r="I49" s="4"/>
      <c r="J49" s="5"/>
      <c r="K49" s="11"/>
    </row>
    <row r="50" spans="1:11" ht="15" thickBot="1" x14ac:dyDescent="0.35">
      <c r="A50" s="87"/>
      <c r="B50" s="15"/>
      <c r="C50" s="15"/>
      <c r="D50" s="15"/>
      <c r="E50" s="15"/>
      <c r="F50" s="15"/>
      <c r="G50" s="15"/>
      <c r="H50" s="15"/>
      <c r="I50" s="15"/>
      <c r="J50" s="15"/>
      <c r="K50" s="16"/>
    </row>
    <row r="51" spans="1:11" ht="15.6" x14ac:dyDescent="0.3">
      <c r="A51" s="4"/>
      <c r="B51" s="4"/>
      <c r="C51" s="4"/>
      <c r="D51" s="4"/>
      <c r="E51" s="4"/>
      <c r="F51" s="4"/>
      <c r="G51" s="4"/>
      <c r="H51" s="4"/>
      <c r="I51" s="4"/>
      <c r="J51" s="5"/>
    </row>
    <row r="52" spans="1:11" ht="15.6" x14ac:dyDescent="0.3">
      <c r="A52" s="4"/>
      <c r="B52" s="4"/>
      <c r="C52" s="4"/>
      <c r="D52" s="4"/>
      <c r="E52" s="4"/>
      <c r="F52" s="4"/>
      <c r="G52" s="4"/>
      <c r="H52" s="4"/>
      <c r="I52" s="4"/>
      <c r="J52" s="5"/>
    </row>
  </sheetData>
  <mergeCells count="28">
    <mergeCell ref="A13:C13"/>
    <mergeCell ref="D13:K14"/>
    <mergeCell ref="A15:K19"/>
    <mergeCell ref="A24:K27"/>
    <mergeCell ref="A8:K9"/>
    <mergeCell ref="A10:C10"/>
    <mergeCell ref="A11:C11"/>
    <mergeCell ref="A12:C12"/>
    <mergeCell ref="A14:C14"/>
    <mergeCell ref="D10:K10"/>
    <mergeCell ref="D11:K11"/>
    <mergeCell ref="D12:K12"/>
    <mergeCell ref="F20:H20"/>
    <mergeCell ref="F21:H21"/>
    <mergeCell ref="F22:H22"/>
    <mergeCell ref="A20:C20"/>
    <mergeCell ref="A21:C21"/>
    <mergeCell ref="A44:K44"/>
    <mergeCell ref="I21:K21"/>
    <mergeCell ref="I22:K22"/>
    <mergeCell ref="D20:E20"/>
    <mergeCell ref="D22:E22"/>
    <mergeCell ref="A22:C22"/>
    <mergeCell ref="A40:K40"/>
    <mergeCell ref="A41:K41"/>
    <mergeCell ref="A42:K42"/>
    <mergeCell ref="A43:K43"/>
    <mergeCell ref="I20:J20"/>
  </mergeCells>
  <printOptions horizontalCentered="1"/>
  <pageMargins left="0.19685039370078741" right="0.19685039370078741" top="0.19685039370078741" bottom="0.19685039370078741" header="0.19685039370078741" footer="0.19685039370078741"/>
  <pageSetup scale="98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41"/>
  <sheetViews>
    <sheetView showGridLines="0" view="pageBreakPreview" zoomScaleNormal="70" zoomScaleSheetLayoutView="100" workbookViewId="0">
      <selection activeCell="C9" sqref="C9"/>
    </sheetView>
  </sheetViews>
  <sheetFormatPr defaultColWidth="9.109375" defaultRowHeight="13.8" x14ac:dyDescent="0.3"/>
  <cols>
    <col min="1" max="2" width="9.109375" style="1" customWidth="1"/>
    <col min="3" max="3" width="35.6640625" style="1" bestFit="1" customWidth="1"/>
    <col min="4" max="5" width="9.109375" style="1"/>
    <col min="6" max="6" width="5.6640625" style="1" customWidth="1"/>
    <col min="7" max="7" width="10.33203125" style="1" customWidth="1"/>
    <col min="8" max="8" width="9.109375" style="1"/>
    <col min="9" max="9" width="13.5546875" style="1" bestFit="1" customWidth="1"/>
    <col min="10" max="16384" width="9.109375" style="1"/>
  </cols>
  <sheetData>
    <row r="1" spans="1:14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19"/>
      <c r="L1" s="20"/>
      <c r="M1" s="20"/>
      <c r="N1" s="20"/>
    </row>
    <row r="2" spans="1:14" x14ac:dyDescent="0.3">
      <c r="A2" s="21"/>
      <c r="B2" s="20"/>
      <c r="C2" s="20"/>
      <c r="D2" s="20"/>
      <c r="E2" s="20"/>
      <c r="F2" s="20"/>
      <c r="G2" s="20"/>
      <c r="H2" s="20"/>
      <c r="I2" s="20"/>
      <c r="J2" s="20"/>
      <c r="K2" s="22"/>
      <c r="L2" s="20"/>
      <c r="M2" s="20"/>
      <c r="N2" s="20"/>
    </row>
    <row r="3" spans="1:14" x14ac:dyDescent="0.3">
      <c r="A3" s="21"/>
      <c r="B3" s="20"/>
      <c r="C3" s="20"/>
      <c r="D3" s="20"/>
      <c r="E3" s="20"/>
      <c r="F3" s="20"/>
      <c r="G3" s="20"/>
      <c r="H3" s="20"/>
      <c r="I3" s="20"/>
      <c r="J3" s="20"/>
      <c r="K3" s="22"/>
      <c r="L3" s="20"/>
      <c r="M3" s="20"/>
      <c r="N3" s="20"/>
    </row>
    <row r="4" spans="1:14" x14ac:dyDescent="0.3">
      <c r="A4" s="21"/>
      <c r="B4" s="20"/>
      <c r="C4" s="20"/>
      <c r="D4" s="20"/>
      <c r="E4" s="20"/>
      <c r="F4" s="20"/>
      <c r="G4" s="20"/>
      <c r="H4" s="20"/>
      <c r="I4" s="20"/>
      <c r="J4" s="20"/>
      <c r="K4" s="22"/>
      <c r="L4" s="20"/>
      <c r="M4" s="20"/>
      <c r="N4" s="20"/>
    </row>
    <row r="5" spans="1:14" x14ac:dyDescent="0.3">
      <c r="A5" s="21"/>
      <c r="B5" s="20"/>
      <c r="C5" s="20"/>
      <c r="D5" s="20"/>
      <c r="E5" s="20"/>
      <c r="F5" s="20"/>
      <c r="G5" s="20"/>
      <c r="H5" s="20"/>
      <c r="I5" s="20"/>
      <c r="J5" s="20"/>
      <c r="K5" s="22"/>
      <c r="L5" s="20"/>
      <c r="M5" s="20"/>
      <c r="N5" s="20"/>
    </row>
    <row r="6" spans="1:14" x14ac:dyDescent="0.3">
      <c r="A6" s="21"/>
      <c r="B6" s="20"/>
      <c r="C6" s="20"/>
      <c r="D6" s="20"/>
      <c r="E6" s="20"/>
      <c r="F6" s="20"/>
      <c r="G6" s="20"/>
      <c r="H6" s="20"/>
      <c r="I6" s="20"/>
      <c r="J6" s="20"/>
      <c r="K6" s="22"/>
      <c r="L6" s="20"/>
      <c r="M6" s="20"/>
      <c r="N6" s="20"/>
    </row>
    <row r="7" spans="1:14" x14ac:dyDescent="0.3">
      <c r="A7" s="21"/>
      <c r="B7" s="20"/>
      <c r="C7" s="20"/>
      <c r="D7" s="20"/>
      <c r="E7" s="20"/>
      <c r="F7" s="20"/>
      <c r="G7" s="20"/>
      <c r="H7" s="20"/>
      <c r="I7" s="20"/>
      <c r="J7" s="20"/>
      <c r="K7" s="22"/>
      <c r="L7" s="20"/>
      <c r="M7" s="20"/>
      <c r="N7" s="20"/>
    </row>
    <row r="8" spans="1:14" ht="28.95" customHeight="1" thickBot="1" x14ac:dyDescent="0.35">
      <c r="A8" s="23"/>
      <c r="B8" s="24"/>
      <c r="C8" s="24"/>
      <c r="D8" s="24"/>
      <c r="E8" s="24"/>
      <c r="F8" s="24"/>
      <c r="G8" s="24"/>
      <c r="H8" s="24"/>
      <c r="I8" s="24"/>
      <c r="J8" s="24"/>
      <c r="K8" s="25"/>
      <c r="L8" s="20"/>
      <c r="M8" s="20"/>
      <c r="N8" s="20"/>
    </row>
    <row r="9" spans="1:14" x14ac:dyDescent="0.3">
      <c r="A9" s="281" t="str">
        <f>CAPA!A10</f>
        <v>OBRA:</v>
      </c>
      <c r="B9" s="282"/>
      <c r="C9" s="20" t="str">
        <f>CAPA!D10</f>
        <v>INSTALAÇÕES ELÉTRICAS/LÓGICAS</v>
      </c>
      <c r="D9" s="20"/>
      <c r="E9" s="20"/>
      <c r="F9" s="20"/>
      <c r="G9" s="20"/>
      <c r="H9" s="20"/>
      <c r="I9" s="20"/>
      <c r="J9" s="20"/>
      <c r="K9" s="22"/>
      <c r="L9" s="20"/>
      <c r="M9" s="20"/>
      <c r="N9" s="20"/>
    </row>
    <row r="10" spans="1:14" x14ac:dyDescent="0.3">
      <c r="A10" s="281" t="str">
        <f>CAPA!A11</f>
        <v>PROPRIETÁRIO:</v>
      </c>
      <c r="B10" s="282"/>
      <c r="C10" s="20" t="str">
        <f>CAPA!D11</f>
        <v>SENAR/MT</v>
      </c>
      <c r="D10" s="20"/>
      <c r="E10" s="20"/>
      <c r="F10" s="20"/>
      <c r="G10" s="20"/>
      <c r="H10" s="20"/>
      <c r="I10" s="20"/>
      <c r="J10" s="20"/>
      <c r="K10" s="22"/>
      <c r="L10" s="20"/>
      <c r="M10" s="20"/>
      <c r="N10" s="20"/>
    </row>
    <row r="11" spans="1:14" x14ac:dyDescent="0.3">
      <c r="A11" s="281" t="str">
        <f>CAPA!A12</f>
        <v>MUNICÍPIO:</v>
      </c>
      <c r="B11" s="282"/>
      <c r="C11" s="20" t="str">
        <f>CAPA!D12</f>
        <v>Cuiabá/MT</v>
      </c>
      <c r="D11" s="20"/>
      <c r="E11" s="20"/>
      <c r="F11" s="20"/>
      <c r="G11" s="20"/>
      <c r="H11" s="20"/>
      <c r="I11" s="20"/>
      <c r="J11" s="20"/>
      <c r="K11" s="22"/>
      <c r="L11" s="20"/>
      <c r="M11" s="20"/>
      <c r="N11" s="20"/>
    </row>
    <row r="12" spans="1:14" x14ac:dyDescent="0.3">
      <c r="A12" s="281" t="str">
        <f>CAPA!A13</f>
        <v>ENDEREÇO:</v>
      </c>
      <c r="B12" s="282"/>
      <c r="C12" s="276" t="str">
        <f>CAPA!D13</f>
        <v xml:space="preserve">Rua Eng. Edgard Prado Arze, S/N , Quadra 01 - Setor A, Centro Político Administrativo
</v>
      </c>
      <c r="D12" s="276"/>
      <c r="E12" s="276"/>
      <c r="F12" s="276"/>
      <c r="G12" s="20"/>
      <c r="H12" s="20"/>
      <c r="I12" s="20"/>
      <c r="J12" s="20"/>
      <c r="K12" s="22"/>
      <c r="L12" s="20"/>
      <c r="M12" s="20"/>
      <c r="N12" s="20"/>
    </row>
    <row r="13" spans="1:14" x14ac:dyDescent="0.3">
      <c r="A13" s="21"/>
      <c r="B13" s="20"/>
      <c r="C13" s="276"/>
      <c r="D13" s="276"/>
      <c r="E13" s="276"/>
      <c r="F13" s="276"/>
      <c r="G13" s="20"/>
      <c r="H13" s="20"/>
      <c r="I13" s="20"/>
      <c r="J13" s="20"/>
      <c r="K13" s="22"/>
      <c r="L13" s="20"/>
      <c r="M13" s="20"/>
      <c r="N13" s="20"/>
    </row>
    <row r="14" spans="1:14" x14ac:dyDescent="0.3">
      <c r="A14" s="281" t="str">
        <f>CAPA!A20</f>
        <v>BDI (SERVIÇOS):</v>
      </c>
      <c r="B14" s="282"/>
      <c r="C14" s="284">
        <f>CAPA!D20</f>
        <v>0.28347674918197008</v>
      </c>
      <c r="D14" s="284"/>
      <c r="E14" s="20"/>
      <c r="F14" s="20"/>
      <c r="G14" s="282" t="s">
        <v>25</v>
      </c>
      <c r="H14" s="282"/>
      <c r="I14" s="283" t="str">
        <f>CAPA!I21</f>
        <v>03 meses</v>
      </c>
      <c r="J14" s="283"/>
      <c r="K14" s="22"/>
      <c r="L14" s="20"/>
      <c r="M14" s="20"/>
      <c r="N14" s="20"/>
    </row>
    <row r="15" spans="1:14" x14ac:dyDescent="0.3">
      <c r="A15" s="281" t="str">
        <f>CAPA!A22</f>
        <v>REFERÊNCIA:</v>
      </c>
      <c r="B15" s="282"/>
      <c r="C15" s="284" t="str">
        <f>CAPA!D22</f>
        <v>SINAPI-MT</v>
      </c>
      <c r="D15" s="284"/>
      <c r="E15" s="20"/>
      <c r="F15" s="20"/>
      <c r="G15" s="282" t="s">
        <v>24</v>
      </c>
      <c r="H15" s="282"/>
      <c r="I15" s="285" t="str">
        <f>CAPA!I20</f>
        <v>JAN/2022</v>
      </c>
      <c r="J15" s="285"/>
      <c r="K15" s="22"/>
      <c r="L15" s="20"/>
      <c r="M15" s="20"/>
      <c r="N15" s="20"/>
    </row>
    <row r="16" spans="1:14" x14ac:dyDescent="0.3">
      <c r="A16" s="281" t="str">
        <f>CAPA!F22</f>
        <v>ENCARGOS:</v>
      </c>
      <c r="B16" s="282"/>
      <c r="C16" s="295" t="str">
        <f>CAPA!I22</f>
        <v>Desonerado</v>
      </c>
      <c r="D16" s="295"/>
      <c r="E16" s="20"/>
      <c r="F16" s="20"/>
      <c r="G16" s="282"/>
      <c r="H16" s="282"/>
      <c r="I16" s="284"/>
      <c r="J16" s="284"/>
      <c r="K16" s="22"/>
      <c r="L16" s="20"/>
      <c r="M16" s="20"/>
      <c r="N16" s="20"/>
    </row>
    <row r="17" spans="1:23" ht="14.4" thickBot="1" x14ac:dyDescent="0.35">
      <c r="A17" s="21"/>
      <c r="B17" s="20"/>
      <c r="C17" s="20"/>
      <c r="D17" s="20"/>
      <c r="E17" s="20"/>
      <c r="F17" s="20"/>
      <c r="G17" s="20"/>
      <c r="H17" s="20"/>
      <c r="I17" s="20"/>
      <c r="J17" s="20"/>
      <c r="K17" s="22"/>
      <c r="L17" s="20"/>
      <c r="M17" s="20"/>
      <c r="N17" s="20"/>
    </row>
    <row r="18" spans="1:23" ht="18.600000000000001" thickBot="1" x14ac:dyDescent="0.35">
      <c r="A18" s="296" t="s">
        <v>119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8"/>
      <c r="L18" s="20"/>
      <c r="M18" s="20"/>
      <c r="N18" s="20"/>
    </row>
    <row r="19" spans="1:23" ht="18.600000000000001" thickBot="1" x14ac:dyDescent="0.35">
      <c r="A19" s="44"/>
      <c r="B19" s="43"/>
      <c r="C19" s="43"/>
      <c r="D19" s="43"/>
      <c r="E19" s="43"/>
      <c r="F19" s="43"/>
      <c r="G19" s="43"/>
      <c r="H19" s="43"/>
      <c r="I19" s="43"/>
      <c r="J19" s="43"/>
      <c r="K19" s="45"/>
      <c r="L19" s="20"/>
      <c r="M19" s="20"/>
      <c r="N19" s="20"/>
    </row>
    <row r="20" spans="1:23" x14ac:dyDescent="0.3">
      <c r="A20" s="286" t="s">
        <v>2</v>
      </c>
      <c r="B20" s="287"/>
      <c r="C20" s="287" t="s">
        <v>3</v>
      </c>
      <c r="D20" s="287"/>
      <c r="E20" s="287"/>
      <c r="F20" s="287"/>
      <c r="G20" s="287"/>
      <c r="H20" s="287"/>
      <c r="I20" s="199" t="s">
        <v>0</v>
      </c>
      <c r="J20" s="288" t="s">
        <v>26</v>
      </c>
      <c r="K20" s="289"/>
      <c r="L20" s="20"/>
      <c r="M20" s="20"/>
      <c r="N20" s="20"/>
    </row>
    <row r="21" spans="1:23" x14ac:dyDescent="0.3">
      <c r="A21" s="290">
        <f>ORÇAMENTO!A19</f>
        <v>1</v>
      </c>
      <c r="B21" s="291"/>
      <c r="C21" s="292" t="str">
        <f>ORÇAMENTO!D19</f>
        <v>SERVIÇOS PRELIMINARES/ADMINISTRAÇÃO DE OBRA</v>
      </c>
      <c r="D21" s="292"/>
      <c r="E21" s="292"/>
      <c r="F21" s="292"/>
      <c r="G21" s="292"/>
      <c r="H21" s="292"/>
      <c r="I21" s="208">
        <f>J21/$J$24</f>
        <v>8.1017256380975247E-2</v>
      </c>
      <c r="J21" s="293">
        <f>ORÇAMENTO!I19</f>
        <v>54343.509999999995</v>
      </c>
      <c r="K21" s="294"/>
      <c r="L21" s="20"/>
      <c r="M21" s="20"/>
      <c r="N21" s="20"/>
    </row>
    <row r="22" spans="1:23" x14ac:dyDescent="0.3">
      <c r="A22" s="290">
        <f>ORÇAMENTO!A24</f>
        <v>2</v>
      </c>
      <c r="B22" s="291"/>
      <c r="C22" s="292" t="str">
        <f>ORÇAMENTO!D24</f>
        <v>CABEAMENTO</v>
      </c>
      <c r="D22" s="292"/>
      <c r="E22" s="292"/>
      <c r="F22" s="292"/>
      <c r="G22" s="292"/>
      <c r="H22" s="292"/>
      <c r="I22" s="208">
        <f>J22/$J$24</f>
        <v>0.79553690837872593</v>
      </c>
      <c r="J22" s="293">
        <f>ORÇAMENTO!I24</f>
        <v>533618.0199999999</v>
      </c>
      <c r="K22" s="294"/>
      <c r="L22" s="20"/>
      <c r="M22" s="20"/>
      <c r="N22" s="20"/>
    </row>
    <row r="23" spans="1:23" x14ac:dyDescent="0.3">
      <c r="A23" s="290">
        <f>ORÇAMENTO!A108</f>
        <v>3</v>
      </c>
      <c r="B23" s="291"/>
      <c r="C23" s="292" t="str">
        <f>ORÇAMENTO!D108</f>
        <v>COMPLEMENTAÇÃO DA OBRA</v>
      </c>
      <c r="D23" s="292"/>
      <c r="E23" s="292"/>
      <c r="F23" s="292"/>
      <c r="G23" s="292"/>
      <c r="H23" s="292"/>
      <c r="I23" s="208">
        <f>J23/$J$24</f>
        <v>0.12344583524029885</v>
      </c>
      <c r="J23" s="293">
        <f>ORÇAMENTO!I108</f>
        <v>82803.100000000006</v>
      </c>
      <c r="K23" s="294"/>
      <c r="L23" s="20"/>
      <c r="M23" s="20"/>
      <c r="N23" s="20"/>
    </row>
    <row r="24" spans="1:23" ht="14.4" thickBot="1" x14ac:dyDescent="0.35">
      <c r="A24" s="279" t="s">
        <v>57</v>
      </c>
      <c r="B24" s="280"/>
      <c r="C24" s="280"/>
      <c r="D24" s="280"/>
      <c r="E24" s="280"/>
      <c r="F24" s="280"/>
      <c r="G24" s="280"/>
      <c r="H24" s="280"/>
      <c r="I24" s="63">
        <f>SUM(I21:I23)</f>
        <v>1</v>
      </c>
      <c r="J24" s="277">
        <f>SUM(J21:K23)</f>
        <v>670764.62999999989</v>
      </c>
      <c r="K24" s="278"/>
    </row>
    <row r="25" spans="1:23" s="102" customFormat="1" x14ac:dyDescent="0.3">
      <c r="A25" s="101"/>
      <c r="B25" s="101"/>
      <c r="C25" s="132"/>
      <c r="D25" s="133"/>
      <c r="E25" s="133"/>
      <c r="F25" s="134"/>
      <c r="G25" s="130"/>
      <c r="H25" s="131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</row>
    <row r="26" spans="1:23" s="102" customFormat="1" x14ac:dyDescent="0.3">
      <c r="A26" s="101"/>
      <c r="B26" s="101"/>
      <c r="C26" s="132"/>
      <c r="D26" s="133"/>
      <c r="E26" s="133"/>
      <c r="F26" s="131"/>
      <c r="G26" s="131"/>
      <c r="H26" s="131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spans="1:23" x14ac:dyDescent="0.3">
      <c r="A27" s="20"/>
      <c r="B27" s="20"/>
      <c r="C27" s="132"/>
      <c r="D27" s="133"/>
      <c r="E27" s="133"/>
      <c r="F27" s="131"/>
      <c r="G27" s="131"/>
      <c r="H27" s="131"/>
      <c r="I27" s="109"/>
    </row>
    <row r="28" spans="1:23" x14ac:dyDescent="0.3">
      <c r="A28" s="20"/>
      <c r="B28" s="20"/>
      <c r="C28" s="132"/>
      <c r="D28" s="133"/>
      <c r="E28" s="133"/>
      <c r="F28" s="131"/>
      <c r="G28" s="131"/>
      <c r="H28" s="131"/>
      <c r="I28" s="109"/>
    </row>
    <row r="29" spans="1:23" x14ac:dyDescent="0.3">
      <c r="A29" s="20"/>
      <c r="B29" s="20"/>
      <c r="C29" s="132"/>
      <c r="D29" s="133"/>
      <c r="E29" s="133"/>
      <c r="F29" s="131"/>
      <c r="G29" s="131"/>
      <c r="H29" s="131"/>
      <c r="I29" s="109"/>
    </row>
    <row r="30" spans="1:23" x14ac:dyDescent="0.3">
      <c r="A30" s="20"/>
      <c r="B30" s="20"/>
      <c r="C30" s="132"/>
      <c r="D30" s="133"/>
      <c r="E30" s="133"/>
      <c r="F30" s="131"/>
      <c r="G30" s="131"/>
      <c r="H30" s="131"/>
      <c r="I30" s="109"/>
    </row>
    <row r="31" spans="1:23" x14ac:dyDescent="0.3">
      <c r="A31" s="20"/>
      <c r="B31" s="20"/>
      <c r="C31" s="132"/>
      <c r="D31" s="133"/>
      <c r="E31" s="133"/>
      <c r="F31" s="131"/>
      <c r="G31" s="131"/>
      <c r="H31" s="131"/>
      <c r="I31" s="109"/>
    </row>
    <row r="32" spans="1:23" x14ac:dyDescent="0.3">
      <c r="A32" s="20"/>
      <c r="B32" s="20"/>
      <c r="C32" s="132"/>
      <c r="D32" s="133"/>
      <c r="E32" s="133"/>
      <c r="F32" s="131"/>
      <c r="G32" s="131"/>
      <c r="H32" s="131"/>
      <c r="I32" s="109"/>
    </row>
    <row r="33" spans="1:9" x14ac:dyDescent="0.3">
      <c r="A33" s="20"/>
      <c r="B33" s="20"/>
      <c r="C33" s="105"/>
      <c r="D33" s="106"/>
      <c r="E33" s="106"/>
      <c r="F33" s="101"/>
      <c r="G33" s="108"/>
      <c r="H33" s="108"/>
      <c r="I33" s="109"/>
    </row>
    <row r="34" spans="1:9" x14ac:dyDescent="0.3">
      <c r="A34" s="20"/>
      <c r="B34" s="20"/>
      <c r="C34" s="105"/>
      <c r="D34" s="106"/>
      <c r="E34" s="106"/>
      <c r="F34" s="101"/>
      <c r="G34" s="108"/>
      <c r="H34" s="108"/>
      <c r="I34" s="109"/>
    </row>
    <row r="35" spans="1:9" x14ac:dyDescent="0.3">
      <c r="A35" s="20"/>
      <c r="B35" s="20"/>
      <c r="C35" s="105"/>
      <c r="D35" s="106"/>
      <c r="E35" s="106"/>
      <c r="F35" s="101"/>
      <c r="G35" s="108"/>
      <c r="H35" s="108"/>
      <c r="I35" s="109"/>
    </row>
    <row r="36" spans="1:9" x14ac:dyDescent="0.3">
      <c r="A36" s="20"/>
      <c r="B36" s="20"/>
      <c r="C36" s="105"/>
      <c r="D36" s="106"/>
      <c r="E36" s="106"/>
      <c r="F36" s="101"/>
      <c r="G36" s="108"/>
      <c r="H36" s="108"/>
      <c r="I36" s="109"/>
    </row>
    <row r="37" spans="1:9" x14ac:dyDescent="0.3">
      <c r="A37" s="20"/>
      <c r="B37" s="20"/>
      <c r="C37" s="105"/>
      <c r="D37" s="106"/>
      <c r="E37" s="106"/>
      <c r="F37" s="101"/>
      <c r="G37" s="108"/>
      <c r="H37" s="108"/>
      <c r="I37" s="109"/>
    </row>
    <row r="38" spans="1:9" x14ac:dyDescent="0.3">
      <c r="A38" s="20"/>
      <c r="B38" s="20"/>
      <c r="C38" s="105"/>
      <c r="D38" s="106"/>
      <c r="E38" s="106"/>
      <c r="F38" s="101"/>
      <c r="G38" s="108"/>
      <c r="H38" s="108"/>
      <c r="I38" s="109"/>
    </row>
    <row r="39" spans="1:9" x14ac:dyDescent="0.3">
      <c r="A39" s="20"/>
      <c r="B39" s="20"/>
      <c r="C39" s="105"/>
      <c r="D39" s="106"/>
      <c r="E39" s="106"/>
      <c r="F39" s="101"/>
      <c r="G39" s="108"/>
      <c r="H39" s="108"/>
      <c r="I39" s="109"/>
    </row>
    <row r="40" spans="1:9" x14ac:dyDescent="0.3">
      <c r="A40" s="20"/>
      <c r="B40" s="20"/>
      <c r="C40" s="105"/>
      <c r="D40" s="106"/>
      <c r="E40" s="106"/>
      <c r="F40" s="101"/>
      <c r="G40" s="108"/>
      <c r="H40" s="108"/>
      <c r="I40" s="109"/>
    </row>
    <row r="41" spans="1:9" x14ac:dyDescent="0.3">
      <c r="A41" s="20"/>
      <c r="B41" s="20"/>
      <c r="C41" s="105"/>
      <c r="D41" s="106"/>
      <c r="E41" s="106"/>
      <c r="F41" s="101"/>
      <c r="G41" s="108"/>
      <c r="H41" s="108"/>
      <c r="I41" s="109"/>
    </row>
    <row r="42" spans="1:9" x14ac:dyDescent="0.3">
      <c r="A42" s="20"/>
      <c r="B42" s="20"/>
      <c r="C42" s="105"/>
      <c r="D42" s="106"/>
      <c r="E42" s="106"/>
      <c r="F42" s="101"/>
      <c r="G42" s="108"/>
      <c r="H42" s="108"/>
      <c r="I42" s="109"/>
    </row>
    <row r="43" spans="1:9" x14ac:dyDescent="0.3">
      <c r="A43" s="20"/>
      <c r="B43" s="20"/>
      <c r="C43" s="105"/>
      <c r="D43" s="106"/>
      <c r="E43" s="106"/>
      <c r="F43" s="101"/>
      <c r="G43" s="108"/>
      <c r="H43" s="108"/>
      <c r="I43" s="109"/>
    </row>
    <row r="44" spans="1:9" x14ac:dyDescent="0.3">
      <c r="A44" s="20"/>
      <c r="B44" s="20"/>
      <c r="C44" s="105"/>
      <c r="D44" s="106"/>
      <c r="E44" s="106"/>
      <c r="F44" s="101"/>
      <c r="G44" s="108"/>
      <c r="H44" s="108"/>
      <c r="I44" s="109"/>
    </row>
    <row r="45" spans="1:9" x14ac:dyDescent="0.3">
      <c r="A45" s="20"/>
      <c r="B45" s="20"/>
      <c r="C45" s="105"/>
      <c r="D45" s="106"/>
      <c r="E45" s="106"/>
      <c r="F45" s="101"/>
      <c r="G45" s="108"/>
      <c r="H45" s="108"/>
      <c r="I45" s="109"/>
    </row>
    <row r="46" spans="1:9" x14ac:dyDescent="0.3">
      <c r="A46" s="20"/>
      <c r="B46" s="20"/>
      <c r="C46" s="105"/>
      <c r="D46" s="106"/>
      <c r="E46" s="106"/>
      <c r="F46" s="101"/>
      <c r="G46" s="108"/>
      <c r="H46" s="108"/>
      <c r="I46" s="109"/>
    </row>
    <row r="47" spans="1:9" x14ac:dyDescent="0.3">
      <c r="C47" s="105"/>
      <c r="D47" s="106"/>
      <c r="E47" s="106"/>
      <c r="F47" s="102"/>
      <c r="G47" s="109"/>
      <c r="H47" s="109"/>
      <c r="I47" s="109"/>
    </row>
    <row r="48" spans="1:9" x14ac:dyDescent="0.3">
      <c r="C48" s="105"/>
      <c r="D48" s="106"/>
      <c r="E48" s="106"/>
      <c r="F48" s="102"/>
      <c r="G48" s="109"/>
      <c r="H48" s="109"/>
      <c r="I48" s="109"/>
    </row>
    <row r="49" spans="3:9" x14ac:dyDescent="0.3">
      <c r="C49" s="105"/>
      <c r="D49" s="106"/>
      <c r="E49" s="106"/>
      <c r="F49" s="102"/>
      <c r="G49" s="109"/>
      <c r="H49" s="109"/>
      <c r="I49" s="109"/>
    </row>
    <row r="50" spans="3:9" x14ac:dyDescent="0.3">
      <c r="C50" s="105"/>
      <c r="D50" s="106"/>
      <c r="E50" s="106"/>
      <c r="F50" s="102"/>
      <c r="G50" s="109"/>
      <c r="H50" s="109"/>
      <c r="I50" s="109"/>
    </row>
    <row r="51" spans="3:9" x14ac:dyDescent="0.3">
      <c r="C51" s="105"/>
      <c r="D51" s="106"/>
      <c r="E51" s="106"/>
      <c r="F51" s="102"/>
      <c r="G51" s="109"/>
      <c r="H51" s="109"/>
      <c r="I51" s="109"/>
    </row>
    <row r="52" spans="3:9" x14ac:dyDescent="0.3">
      <c r="C52" s="105"/>
      <c r="D52" s="106"/>
      <c r="E52" s="106"/>
      <c r="F52" s="102"/>
      <c r="G52" s="109"/>
      <c r="H52" s="109"/>
      <c r="I52" s="109"/>
    </row>
    <row r="53" spans="3:9" x14ac:dyDescent="0.3">
      <c r="C53" s="105"/>
      <c r="D53" s="106"/>
      <c r="E53" s="106"/>
      <c r="F53" s="102"/>
      <c r="G53" s="109"/>
      <c r="H53" s="109"/>
      <c r="I53" s="109"/>
    </row>
    <row r="54" spans="3:9" x14ac:dyDescent="0.3">
      <c r="C54" s="105"/>
      <c r="D54" s="106"/>
      <c r="E54" s="106"/>
      <c r="F54" s="102"/>
      <c r="G54" s="109"/>
      <c r="H54" s="109"/>
      <c r="I54" s="109"/>
    </row>
    <row r="55" spans="3:9" x14ac:dyDescent="0.3">
      <c r="C55" s="105"/>
      <c r="D55" s="106"/>
      <c r="E55" s="106"/>
      <c r="F55" s="102"/>
      <c r="G55" s="109"/>
      <c r="H55" s="109"/>
      <c r="I55" s="109"/>
    </row>
    <row r="56" spans="3:9" x14ac:dyDescent="0.3">
      <c r="C56" s="105"/>
      <c r="D56" s="106"/>
      <c r="E56" s="106"/>
      <c r="F56" s="102"/>
      <c r="G56" s="109"/>
      <c r="H56" s="109"/>
      <c r="I56" s="109"/>
    </row>
    <row r="57" spans="3:9" x14ac:dyDescent="0.3">
      <c r="C57" s="105"/>
      <c r="D57" s="106"/>
      <c r="E57" s="106"/>
      <c r="F57" s="102"/>
      <c r="G57" s="109"/>
      <c r="H57" s="109"/>
      <c r="I57" s="109"/>
    </row>
    <row r="58" spans="3:9" x14ac:dyDescent="0.3">
      <c r="C58" s="105"/>
      <c r="D58" s="106"/>
      <c r="E58" s="106"/>
      <c r="F58" s="102"/>
      <c r="G58" s="109"/>
      <c r="H58" s="109"/>
      <c r="I58" s="109"/>
    </row>
    <row r="59" spans="3:9" x14ac:dyDescent="0.3">
      <c r="C59" s="105"/>
      <c r="D59" s="106"/>
      <c r="E59" s="106"/>
      <c r="F59" s="102"/>
      <c r="G59" s="109"/>
      <c r="H59" s="109"/>
      <c r="I59" s="109"/>
    </row>
    <row r="60" spans="3:9" x14ac:dyDescent="0.3">
      <c r="C60" s="105"/>
      <c r="D60" s="106"/>
      <c r="E60" s="106"/>
      <c r="F60" s="102"/>
      <c r="G60" s="109"/>
      <c r="H60" s="109"/>
      <c r="I60" s="109"/>
    </row>
    <row r="61" spans="3:9" x14ac:dyDescent="0.3">
      <c r="C61" s="105"/>
      <c r="D61" s="106"/>
      <c r="E61" s="106"/>
      <c r="F61" s="102"/>
      <c r="G61" s="109"/>
      <c r="H61" s="109"/>
      <c r="I61" s="109"/>
    </row>
    <row r="62" spans="3:9" x14ac:dyDescent="0.3">
      <c r="C62" s="105"/>
      <c r="D62" s="106"/>
      <c r="E62" s="106"/>
      <c r="F62" s="102"/>
      <c r="G62" s="109"/>
      <c r="H62" s="109"/>
      <c r="I62" s="109"/>
    </row>
    <row r="63" spans="3:9" x14ac:dyDescent="0.3">
      <c r="C63" s="105"/>
      <c r="D63" s="106"/>
      <c r="E63" s="106"/>
      <c r="F63" s="102"/>
      <c r="G63" s="109"/>
      <c r="H63" s="109"/>
      <c r="I63" s="109"/>
    </row>
    <row r="64" spans="3:9" x14ac:dyDescent="0.3">
      <c r="C64" s="105"/>
      <c r="D64" s="106"/>
      <c r="E64" s="106"/>
      <c r="F64" s="102"/>
      <c r="G64" s="109"/>
      <c r="H64" s="109"/>
      <c r="I64" s="109"/>
    </row>
    <row r="65" spans="3:9" x14ac:dyDescent="0.3">
      <c r="C65" s="105"/>
      <c r="D65" s="106"/>
      <c r="E65" s="106"/>
      <c r="F65" s="102"/>
      <c r="G65" s="109"/>
      <c r="H65" s="109"/>
      <c r="I65" s="109"/>
    </row>
    <row r="66" spans="3:9" x14ac:dyDescent="0.3">
      <c r="C66" s="105"/>
      <c r="D66" s="106"/>
      <c r="E66" s="106"/>
      <c r="F66" s="102"/>
      <c r="G66" s="109"/>
      <c r="H66" s="109"/>
      <c r="I66" s="109"/>
    </row>
    <row r="67" spans="3:9" x14ac:dyDescent="0.3">
      <c r="C67" s="105"/>
      <c r="D67" s="106"/>
      <c r="E67" s="106"/>
      <c r="F67" s="102"/>
      <c r="G67" s="109"/>
      <c r="H67" s="109"/>
      <c r="I67" s="109"/>
    </row>
    <row r="68" spans="3:9" x14ac:dyDescent="0.3">
      <c r="C68" s="105"/>
      <c r="D68" s="106"/>
      <c r="E68" s="106"/>
      <c r="F68" s="102"/>
      <c r="G68" s="109"/>
      <c r="H68" s="109"/>
      <c r="I68" s="109"/>
    </row>
    <row r="69" spans="3:9" x14ac:dyDescent="0.3">
      <c r="C69" s="105"/>
      <c r="D69" s="106"/>
      <c r="E69" s="106"/>
      <c r="F69" s="102"/>
      <c r="G69" s="109"/>
      <c r="H69" s="109"/>
      <c r="I69" s="109"/>
    </row>
    <row r="70" spans="3:9" x14ac:dyDescent="0.3">
      <c r="C70" s="105"/>
      <c r="D70" s="106"/>
      <c r="E70" s="106"/>
      <c r="F70" s="102"/>
      <c r="G70" s="109"/>
      <c r="H70" s="109"/>
      <c r="I70" s="109"/>
    </row>
    <row r="71" spans="3:9" x14ac:dyDescent="0.3">
      <c r="C71" s="105"/>
      <c r="D71" s="106"/>
      <c r="E71" s="106"/>
      <c r="F71" s="102"/>
      <c r="G71" s="109"/>
      <c r="H71" s="109"/>
      <c r="I71" s="109"/>
    </row>
    <row r="72" spans="3:9" x14ac:dyDescent="0.3">
      <c r="C72" s="105"/>
      <c r="D72" s="106"/>
      <c r="E72" s="106"/>
      <c r="F72" s="102"/>
      <c r="G72" s="109"/>
      <c r="H72" s="109"/>
      <c r="I72" s="109"/>
    </row>
    <row r="73" spans="3:9" x14ac:dyDescent="0.3">
      <c r="C73" s="105"/>
      <c r="D73" s="106"/>
      <c r="E73" s="106"/>
      <c r="F73" s="102"/>
      <c r="G73" s="109"/>
      <c r="H73" s="109"/>
      <c r="I73" s="109"/>
    </row>
    <row r="74" spans="3:9" x14ac:dyDescent="0.3">
      <c r="C74" s="105"/>
      <c r="D74" s="106"/>
      <c r="E74" s="106"/>
      <c r="F74" s="102"/>
      <c r="G74" s="109"/>
      <c r="H74" s="109"/>
      <c r="I74" s="109"/>
    </row>
    <row r="75" spans="3:9" x14ac:dyDescent="0.3">
      <c r="C75" s="105"/>
      <c r="D75" s="106"/>
      <c r="E75" s="106"/>
      <c r="F75" s="102"/>
      <c r="G75" s="109"/>
      <c r="H75" s="109"/>
      <c r="I75" s="109"/>
    </row>
    <row r="76" spans="3:9" x14ac:dyDescent="0.3">
      <c r="C76" s="105"/>
      <c r="D76" s="106"/>
      <c r="E76" s="106"/>
      <c r="F76" s="102"/>
      <c r="G76" s="109"/>
      <c r="H76" s="109"/>
      <c r="I76" s="109"/>
    </row>
    <row r="77" spans="3:9" x14ac:dyDescent="0.3">
      <c r="C77" s="105"/>
      <c r="D77" s="106"/>
      <c r="E77" s="106"/>
      <c r="F77" s="102"/>
      <c r="G77" s="109"/>
      <c r="H77" s="109"/>
      <c r="I77" s="109"/>
    </row>
    <row r="78" spans="3:9" x14ac:dyDescent="0.3">
      <c r="C78" s="105"/>
      <c r="D78" s="106"/>
      <c r="E78" s="106"/>
      <c r="F78" s="102"/>
      <c r="G78" s="109"/>
      <c r="H78" s="109"/>
      <c r="I78" s="109"/>
    </row>
    <row r="79" spans="3:9" x14ac:dyDescent="0.3">
      <c r="C79" s="105"/>
      <c r="D79" s="106"/>
      <c r="E79" s="106"/>
      <c r="F79" s="102"/>
      <c r="G79" s="109"/>
      <c r="H79" s="109"/>
      <c r="I79" s="109"/>
    </row>
    <row r="80" spans="3:9" x14ac:dyDescent="0.3">
      <c r="C80" s="105"/>
      <c r="D80" s="106"/>
      <c r="E80" s="106"/>
      <c r="F80" s="102"/>
      <c r="G80" s="109"/>
      <c r="H80" s="109"/>
      <c r="I80" s="109"/>
    </row>
    <row r="81" spans="3:9" x14ac:dyDescent="0.3">
      <c r="C81" s="105"/>
      <c r="D81" s="106"/>
      <c r="E81" s="106"/>
      <c r="F81" s="102"/>
      <c r="G81" s="109"/>
      <c r="H81" s="109"/>
      <c r="I81" s="109"/>
    </row>
    <row r="82" spans="3:9" x14ac:dyDescent="0.3">
      <c r="C82" s="105"/>
      <c r="D82" s="106"/>
      <c r="E82" s="106"/>
      <c r="F82" s="102"/>
      <c r="G82" s="109"/>
      <c r="H82" s="109"/>
      <c r="I82" s="109"/>
    </row>
    <row r="83" spans="3:9" x14ac:dyDescent="0.3">
      <c r="C83" s="105"/>
      <c r="D83" s="106"/>
      <c r="E83" s="106"/>
      <c r="F83" s="102"/>
      <c r="G83" s="109"/>
      <c r="H83" s="109"/>
      <c r="I83" s="109"/>
    </row>
    <row r="84" spans="3:9" x14ac:dyDescent="0.3">
      <c r="C84" s="105"/>
      <c r="D84" s="106"/>
      <c r="E84" s="106"/>
      <c r="F84" s="102"/>
      <c r="G84" s="109"/>
      <c r="H84" s="109"/>
      <c r="I84" s="109"/>
    </row>
    <row r="85" spans="3:9" x14ac:dyDescent="0.3">
      <c r="C85" s="105"/>
      <c r="D85" s="106"/>
      <c r="E85" s="106"/>
      <c r="F85" s="102"/>
      <c r="G85" s="109"/>
      <c r="H85" s="109"/>
      <c r="I85" s="109"/>
    </row>
    <row r="86" spans="3:9" x14ac:dyDescent="0.3">
      <c r="C86" s="105"/>
      <c r="D86" s="106"/>
      <c r="E86" s="106"/>
      <c r="F86" s="102"/>
      <c r="G86" s="109"/>
      <c r="H86" s="109"/>
      <c r="I86" s="109"/>
    </row>
    <row r="87" spans="3:9" x14ac:dyDescent="0.3">
      <c r="C87" s="105"/>
      <c r="D87" s="106"/>
      <c r="E87" s="106"/>
      <c r="F87" s="102"/>
      <c r="G87" s="109"/>
      <c r="H87" s="109"/>
      <c r="I87" s="109"/>
    </row>
    <row r="88" spans="3:9" x14ac:dyDescent="0.3">
      <c r="C88" s="105"/>
      <c r="D88" s="106"/>
      <c r="E88" s="106"/>
      <c r="F88" s="102"/>
    </row>
    <row r="89" spans="3:9" x14ac:dyDescent="0.3">
      <c r="C89" s="105"/>
      <c r="D89" s="106"/>
      <c r="E89" s="106"/>
      <c r="F89" s="102"/>
    </row>
    <row r="90" spans="3:9" x14ac:dyDescent="0.3">
      <c r="C90" s="105"/>
      <c r="D90" s="106"/>
      <c r="E90" s="106"/>
      <c r="F90" s="102"/>
    </row>
    <row r="91" spans="3:9" x14ac:dyDescent="0.3">
      <c r="C91" s="105"/>
      <c r="D91" s="106"/>
      <c r="E91" s="106"/>
      <c r="F91" s="102"/>
    </row>
    <row r="92" spans="3:9" x14ac:dyDescent="0.3">
      <c r="C92" s="105"/>
      <c r="D92" s="106"/>
      <c r="E92" s="106"/>
      <c r="F92" s="102"/>
    </row>
    <row r="93" spans="3:9" x14ac:dyDescent="0.3">
      <c r="C93" s="105"/>
      <c r="D93" s="106"/>
      <c r="E93" s="106"/>
      <c r="F93" s="102"/>
    </row>
    <row r="94" spans="3:9" x14ac:dyDescent="0.3">
      <c r="C94" s="105"/>
      <c r="D94" s="106"/>
      <c r="E94" s="106"/>
      <c r="F94" s="102"/>
    </row>
    <row r="95" spans="3:9" x14ac:dyDescent="0.3">
      <c r="C95" s="105"/>
      <c r="D95" s="106"/>
      <c r="E95" s="106"/>
      <c r="F95" s="102"/>
    </row>
    <row r="96" spans="3:9" x14ac:dyDescent="0.3">
      <c r="C96" s="105"/>
      <c r="D96" s="106"/>
      <c r="E96" s="106"/>
      <c r="F96" s="102"/>
    </row>
    <row r="97" spans="3:6" x14ac:dyDescent="0.3">
      <c r="C97" s="105"/>
      <c r="D97" s="106"/>
      <c r="E97" s="106"/>
      <c r="F97" s="102"/>
    </row>
    <row r="98" spans="3:6" x14ac:dyDescent="0.3">
      <c r="C98" s="105"/>
      <c r="D98" s="106"/>
      <c r="E98" s="106"/>
      <c r="F98" s="102"/>
    </row>
    <row r="99" spans="3:6" x14ac:dyDescent="0.3">
      <c r="C99" s="105"/>
      <c r="D99" s="106"/>
      <c r="E99" s="106"/>
      <c r="F99" s="102"/>
    </row>
    <row r="100" spans="3:6" x14ac:dyDescent="0.3">
      <c r="C100" s="105"/>
      <c r="D100" s="106"/>
      <c r="E100" s="106"/>
      <c r="F100" s="102"/>
    </row>
    <row r="101" spans="3:6" x14ac:dyDescent="0.3">
      <c r="C101" s="105"/>
      <c r="D101" s="106"/>
      <c r="E101" s="106"/>
      <c r="F101" s="102"/>
    </row>
    <row r="102" spans="3:6" x14ac:dyDescent="0.3">
      <c r="C102" s="105"/>
      <c r="D102" s="106"/>
      <c r="E102" s="106"/>
      <c r="F102" s="102"/>
    </row>
    <row r="103" spans="3:6" x14ac:dyDescent="0.3">
      <c r="C103" s="105"/>
      <c r="D103" s="106"/>
      <c r="E103" s="106"/>
      <c r="F103" s="102"/>
    </row>
    <row r="104" spans="3:6" x14ac:dyDescent="0.3">
      <c r="C104" s="105"/>
      <c r="D104" s="106"/>
      <c r="E104" s="106"/>
      <c r="F104" s="102"/>
    </row>
    <row r="105" spans="3:6" x14ac:dyDescent="0.3">
      <c r="C105" s="105"/>
      <c r="D105" s="106"/>
      <c r="E105" s="106"/>
      <c r="F105" s="102"/>
    </row>
    <row r="106" spans="3:6" x14ac:dyDescent="0.3">
      <c r="C106" s="105"/>
      <c r="D106" s="106"/>
      <c r="E106" s="106"/>
      <c r="F106" s="102"/>
    </row>
    <row r="107" spans="3:6" x14ac:dyDescent="0.3">
      <c r="C107" s="105"/>
      <c r="D107" s="106"/>
      <c r="E107" s="106"/>
      <c r="F107" s="102"/>
    </row>
    <row r="108" spans="3:6" x14ac:dyDescent="0.3">
      <c r="C108" s="105"/>
      <c r="D108" s="106"/>
      <c r="E108" s="106"/>
      <c r="F108" s="102"/>
    </row>
    <row r="109" spans="3:6" x14ac:dyDescent="0.3">
      <c r="C109" s="105"/>
      <c r="D109" s="106"/>
      <c r="E109" s="106"/>
      <c r="F109" s="102"/>
    </row>
    <row r="110" spans="3:6" x14ac:dyDescent="0.3">
      <c r="C110" s="105"/>
      <c r="D110" s="106"/>
      <c r="E110" s="106"/>
      <c r="F110" s="102"/>
    </row>
    <row r="111" spans="3:6" x14ac:dyDescent="0.3">
      <c r="C111" s="105"/>
      <c r="D111" s="106"/>
      <c r="E111" s="106"/>
      <c r="F111" s="102"/>
    </row>
    <row r="112" spans="3:6" x14ac:dyDescent="0.3">
      <c r="C112" s="105"/>
      <c r="D112" s="106"/>
      <c r="E112" s="106"/>
      <c r="F112" s="102"/>
    </row>
    <row r="113" spans="3:6" x14ac:dyDescent="0.3">
      <c r="C113" s="105"/>
      <c r="D113" s="106"/>
      <c r="E113" s="106"/>
      <c r="F113" s="102"/>
    </row>
    <row r="114" spans="3:6" x14ac:dyDescent="0.3">
      <c r="C114" s="105"/>
      <c r="D114" s="106"/>
      <c r="E114" s="106"/>
      <c r="F114" s="102"/>
    </row>
    <row r="115" spans="3:6" x14ac:dyDescent="0.3">
      <c r="C115" s="105"/>
      <c r="D115" s="106"/>
      <c r="E115" s="106"/>
      <c r="F115" s="102"/>
    </row>
    <row r="116" spans="3:6" x14ac:dyDescent="0.3">
      <c r="C116" s="105"/>
      <c r="D116" s="106"/>
      <c r="E116" s="106"/>
      <c r="F116" s="102"/>
    </row>
    <row r="117" spans="3:6" x14ac:dyDescent="0.3">
      <c r="C117" s="105"/>
      <c r="D117" s="106"/>
      <c r="E117" s="106"/>
      <c r="F117" s="102"/>
    </row>
    <row r="118" spans="3:6" x14ac:dyDescent="0.3">
      <c r="C118" s="105"/>
      <c r="D118" s="106"/>
      <c r="E118" s="106"/>
      <c r="F118" s="102"/>
    </row>
    <row r="119" spans="3:6" x14ac:dyDescent="0.3">
      <c r="C119" s="105"/>
      <c r="D119" s="106"/>
      <c r="E119" s="106"/>
      <c r="F119" s="102"/>
    </row>
    <row r="120" spans="3:6" x14ac:dyDescent="0.3">
      <c r="C120" s="105"/>
      <c r="D120" s="106"/>
      <c r="E120" s="106"/>
      <c r="F120" s="102"/>
    </row>
    <row r="121" spans="3:6" x14ac:dyDescent="0.3">
      <c r="C121" s="105"/>
      <c r="D121" s="106"/>
      <c r="E121" s="106"/>
      <c r="F121" s="102"/>
    </row>
    <row r="122" spans="3:6" x14ac:dyDescent="0.3">
      <c r="C122" s="105"/>
      <c r="D122" s="106"/>
      <c r="E122" s="106"/>
      <c r="F122" s="102"/>
    </row>
    <row r="123" spans="3:6" x14ac:dyDescent="0.3">
      <c r="C123" s="105"/>
      <c r="D123" s="106"/>
      <c r="E123" s="106"/>
      <c r="F123" s="102"/>
    </row>
    <row r="124" spans="3:6" x14ac:dyDescent="0.3">
      <c r="C124" s="105"/>
      <c r="D124" s="106"/>
      <c r="E124" s="106"/>
      <c r="F124" s="102"/>
    </row>
    <row r="125" spans="3:6" x14ac:dyDescent="0.3">
      <c r="C125" s="105"/>
      <c r="D125" s="106"/>
      <c r="E125" s="106"/>
      <c r="F125" s="102"/>
    </row>
    <row r="126" spans="3:6" x14ac:dyDescent="0.3">
      <c r="C126" s="105"/>
      <c r="D126" s="106"/>
      <c r="E126" s="106"/>
      <c r="F126" s="102"/>
    </row>
    <row r="127" spans="3:6" x14ac:dyDescent="0.3">
      <c r="C127" s="105"/>
      <c r="D127" s="106"/>
      <c r="E127" s="106"/>
      <c r="F127" s="102"/>
    </row>
    <row r="128" spans="3:6" x14ac:dyDescent="0.3">
      <c r="C128" s="105"/>
      <c r="D128" s="106"/>
      <c r="E128" s="106"/>
      <c r="F128" s="102"/>
    </row>
    <row r="129" spans="3:6" x14ac:dyDescent="0.3">
      <c r="C129" s="105"/>
      <c r="D129" s="106"/>
      <c r="E129" s="106"/>
      <c r="F129" s="102"/>
    </row>
    <row r="130" spans="3:6" x14ac:dyDescent="0.3">
      <c r="C130" s="105"/>
      <c r="D130" s="106"/>
      <c r="E130" s="106"/>
      <c r="F130" s="102"/>
    </row>
    <row r="131" spans="3:6" x14ac:dyDescent="0.3">
      <c r="C131" s="105"/>
      <c r="D131" s="106"/>
      <c r="E131" s="106"/>
      <c r="F131" s="102"/>
    </row>
    <row r="132" spans="3:6" x14ac:dyDescent="0.3">
      <c r="C132" s="105"/>
      <c r="D132" s="106"/>
      <c r="E132" s="106"/>
      <c r="F132" s="102"/>
    </row>
    <row r="133" spans="3:6" x14ac:dyDescent="0.3">
      <c r="C133" s="105"/>
      <c r="D133" s="106"/>
      <c r="E133" s="106"/>
      <c r="F133" s="102"/>
    </row>
    <row r="134" spans="3:6" x14ac:dyDescent="0.3">
      <c r="C134" s="105"/>
      <c r="D134" s="106"/>
      <c r="E134" s="106"/>
      <c r="F134" s="102"/>
    </row>
    <row r="135" spans="3:6" x14ac:dyDescent="0.3">
      <c r="C135" s="105"/>
      <c r="D135" s="106"/>
      <c r="E135" s="106"/>
      <c r="F135" s="102"/>
    </row>
    <row r="136" spans="3:6" x14ac:dyDescent="0.3">
      <c r="C136" s="105"/>
      <c r="D136" s="106"/>
      <c r="E136" s="106"/>
      <c r="F136" s="102"/>
    </row>
    <row r="137" spans="3:6" x14ac:dyDescent="0.3">
      <c r="C137" s="105"/>
      <c r="D137" s="106"/>
      <c r="E137" s="106"/>
      <c r="F137" s="102"/>
    </row>
    <row r="138" spans="3:6" x14ac:dyDescent="0.3">
      <c r="C138" s="105"/>
      <c r="D138" s="106"/>
      <c r="E138" s="106"/>
      <c r="F138" s="102"/>
    </row>
    <row r="139" spans="3:6" x14ac:dyDescent="0.3">
      <c r="C139" s="105"/>
      <c r="D139" s="106"/>
      <c r="E139" s="106"/>
      <c r="F139" s="102"/>
    </row>
    <row r="140" spans="3:6" x14ac:dyDescent="0.3">
      <c r="C140" s="105"/>
      <c r="D140" s="106"/>
      <c r="E140" s="106"/>
      <c r="F140" s="102"/>
    </row>
    <row r="141" spans="3:6" x14ac:dyDescent="0.3">
      <c r="C141" s="105"/>
      <c r="D141" s="106"/>
      <c r="E141" s="106"/>
      <c r="F141" s="102"/>
    </row>
    <row r="142" spans="3:6" x14ac:dyDescent="0.3">
      <c r="C142" s="105"/>
      <c r="D142" s="106"/>
      <c r="E142" s="106"/>
      <c r="F142" s="102"/>
    </row>
    <row r="143" spans="3:6" x14ac:dyDescent="0.3">
      <c r="C143" s="105"/>
      <c r="D143" s="106"/>
      <c r="E143" s="106"/>
      <c r="F143" s="102"/>
    </row>
    <row r="144" spans="3:6" x14ac:dyDescent="0.3">
      <c r="C144" s="105"/>
      <c r="D144" s="106"/>
      <c r="E144" s="106"/>
      <c r="F144" s="102"/>
    </row>
    <row r="145" spans="3:6" x14ac:dyDescent="0.3">
      <c r="C145" s="105"/>
      <c r="D145" s="106"/>
      <c r="E145" s="106"/>
      <c r="F145" s="102"/>
    </row>
    <row r="146" spans="3:6" x14ac:dyDescent="0.3">
      <c r="C146" s="105"/>
      <c r="D146" s="106"/>
      <c r="E146" s="106"/>
      <c r="F146" s="102"/>
    </row>
    <row r="147" spans="3:6" x14ac:dyDescent="0.3">
      <c r="C147" s="105"/>
      <c r="D147" s="106"/>
      <c r="E147" s="106"/>
      <c r="F147" s="102"/>
    </row>
    <row r="148" spans="3:6" x14ac:dyDescent="0.3">
      <c r="C148" s="105"/>
      <c r="D148" s="106"/>
      <c r="E148" s="106"/>
      <c r="F148" s="102"/>
    </row>
    <row r="149" spans="3:6" x14ac:dyDescent="0.3">
      <c r="C149" s="105"/>
      <c r="D149" s="106"/>
      <c r="E149" s="106"/>
      <c r="F149" s="102"/>
    </row>
    <row r="150" spans="3:6" x14ac:dyDescent="0.3">
      <c r="C150" s="105"/>
      <c r="D150" s="106"/>
      <c r="E150" s="106"/>
      <c r="F150" s="102"/>
    </row>
    <row r="151" spans="3:6" x14ac:dyDescent="0.3">
      <c r="C151" s="105"/>
      <c r="D151" s="106"/>
      <c r="E151" s="106"/>
      <c r="F151" s="102"/>
    </row>
    <row r="152" spans="3:6" x14ac:dyDescent="0.3">
      <c r="C152" s="105"/>
      <c r="D152" s="106"/>
      <c r="E152" s="106"/>
      <c r="F152" s="102"/>
    </row>
    <row r="153" spans="3:6" x14ac:dyDescent="0.3">
      <c r="C153" s="105"/>
      <c r="D153" s="106"/>
      <c r="E153" s="106"/>
      <c r="F153" s="102"/>
    </row>
    <row r="154" spans="3:6" x14ac:dyDescent="0.3">
      <c r="C154" s="105"/>
      <c r="D154" s="106"/>
      <c r="E154" s="106"/>
      <c r="F154" s="102"/>
    </row>
    <row r="155" spans="3:6" x14ac:dyDescent="0.3">
      <c r="C155" s="105"/>
      <c r="D155" s="106"/>
      <c r="E155" s="106"/>
      <c r="F155" s="102"/>
    </row>
    <row r="156" spans="3:6" x14ac:dyDescent="0.3">
      <c r="C156" s="105"/>
      <c r="D156" s="106"/>
      <c r="E156" s="106"/>
      <c r="F156" s="102"/>
    </row>
    <row r="157" spans="3:6" x14ac:dyDescent="0.3">
      <c r="C157" s="105"/>
      <c r="D157" s="106"/>
      <c r="E157" s="106"/>
      <c r="F157" s="102"/>
    </row>
    <row r="158" spans="3:6" x14ac:dyDescent="0.3">
      <c r="C158" s="105"/>
      <c r="D158" s="106"/>
      <c r="E158" s="106"/>
      <c r="F158" s="102"/>
    </row>
    <row r="159" spans="3:6" x14ac:dyDescent="0.3">
      <c r="C159" s="105"/>
      <c r="D159" s="106"/>
      <c r="E159" s="106"/>
      <c r="F159" s="102"/>
    </row>
    <row r="160" spans="3:6" x14ac:dyDescent="0.3">
      <c r="C160" s="105"/>
      <c r="D160" s="106"/>
      <c r="E160" s="106"/>
      <c r="F160" s="102"/>
    </row>
    <row r="161" spans="3:6" x14ac:dyDescent="0.3">
      <c r="C161" s="105"/>
      <c r="D161" s="106"/>
      <c r="E161" s="106"/>
      <c r="F161" s="102"/>
    </row>
    <row r="162" spans="3:6" x14ac:dyDescent="0.3">
      <c r="C162" s="105"/>
      <c r="D162" s="106"/>
      <c r="E162" s="106"/>
      <c r="F162" s="102"/>
    </row>
    <row r="163" spans="3:6" x14ac:dyDescent="0.3">
      <c r="C163" s="105"/>
      <c r="D163" s="106"/>
      <c r="E163" s="106"/>
      <c r="F163" s="102"/>
    </row>
    <row r="164" spans="3:6" x14ac:dyDescent="0.3">
      <c r="C164" s="105"/>
      <c r="D164" s="106"/>
      <c r="E164" s="106"/>
      <c r="F164" s="102"/>
    </row>
    <row r="165" spans="3:6" x14ac:dyDescent="0.3">
      <c r="C165" s="105"/>
      <c r="D165" s="106"/>
      <c r="E165" s="106"/>
      <c r="F165" s="102"/>
    </row>
    <row r="166" spans="3:6" x14ac:dyDescent="0.3">
      <c r="C166" s="105"/>
      <c r="D166" s="106"/>
      <c r="E166" s="106"/>
      <c r="F166" s="102"/>
    </row>
    <row r="167" spans="3:6" x14ac:dyDescent="0.3">
      <c r="C167" s="105"/>
      <c r="D167" s="106"/>
      <c r="E167" s="106"/>
      <c r="F167" s="102"/>
    </row>
    <row r="168" spans="3:6" x14ac:dyDescent="0.3">
      <c r="C168" s="105"/>
      <c r="D168" s="106"/>
      <c r="E168" s="106"/>
      <c r="F168" s="102"/>
    </row>
    <row r="169" spans="3:6" x14ac:dyDescent="0.3">
      <c r="C169" s="105"/>
      <c r="D169" s="106"/>
      <c r="E169" s="106"/>
      <c r="F169" s="102"/>
    </row>
    <row r="170" spans="3:6" x14ac:dyDescent="0.3">
      <c r="C170" s="105"/>
      <c r="D170" s="106"/>
      <c r="E170" s="106"/>
      <c r="F170" s="102"/>
    </row>
    <row r="171" spans="3:6" x14ac:dyDescent="0.3">
      <c r="C171" s="105"/>
      <c r="D171" s="106"/>
      <c r="E171" s="106"/>
      <c r="F171" s="102"/>
    </row>
    <row r="172" spans="3:6" x14ac:dyDescent="0.3">
      <c r="C172" s="105"/>
      <c r="D172" s="106"/>
      <c r="E172" s="106"/>
      <c r="F172" s="102"/>
    </row>
    <row r="173" spans="3:6" x14ac:dyDescent="0.3">
      <c r="C173" s="105"/>
      <c r="D173" s="106"/>
      <c r="E173" s="106"/>
      <c r="F173" s="102"/>
    </row>
    <row r="174" spans="3:6" x14ac:dyDescent="0.3">
      <c r="C174" s="105"/>
      <c r="D174" s="106"/>
      <c r="E174" s="106"/>
      <c r="F174" s="102"/>
    </row>
    <row r="175" spans="3:6" x14ac:dyDescent="0.3">
      <c r="C175" s="105"/>
      <c r="D175" s="106"/>
      <c r="E175" s="106"/>
      <c r="F175" s="102"/>
    </row>
    <row r="176" spans="3:6" x14ac:dyDescent="0.3">
      <c r="C176" s="105"/>
      <c r="D176" s="106"/>
      <c r="E176" s="106"/>
      <c r="F176" s="102"/>
    </row>
    <row r="177" spans="3:6" x14ac:dyDescent="0.3">
      <c r="C177" s="105"/>
      <c r="D177" s="106"/>
      <c r="E177" s="106"/>
      <c r="F177" s="102"/>
    </row>
    <row r="178" spans="3:6" x14ac:dyDescent="0.3">
      <c r="C178" s="105"/>
      <c r="D178" s="106"/>
      <c r="E178" s="106"/>
      <c r="F178" s="102"/>
    </row>
    <row r="179" spans="3:6" x14ac:dyDescent="0.3">
      <c r="C179" s="105"/>
      <c r="D179" s="106"/>
      <c r="E179" s="106"/>
      <c r="F179" s="102"/>
    </row>
    <row r="180" spans="3:6" x14ac:dyDescent="0.3">
      <c r="C180" s="105"/>
      <c r="D180" s="106"/>
      <c r="E180" s="106"/>
      <c r="F180" s="102"/>
    </row>
    <row r="181" spans="3:6" x14ac:dyDescent="0.3">
      <c r="C181" s="105"/>
      <c r="D181" s="106"/>
      <c r="E181" s="106"/>
      <c r="F181" s="102"/>
    </row>
    <row r="182" spans="3:6" x14ac:dyDescent="0.3">
      <c r="C182" s="105"/>
      <c r="D182" s="106"/>
      <c r="E182" s="106"/>
      <c r="F182" s="102"/>
    </row>
    <row r="183" spans="3:6" x14ac:dyDescent="0.3">
      <c r="C183" s="105"/>
      <c r="D183" s="106"/>
      <c r="E183" s="106"/>
      <c r="F183" s="102"/>
    </row>
    <row r="184" spans="3:6" x14ac:dyDescent="0.3">
      <c r="C184" s="105"/>
      <c r="D184" s="106"/>
      <c r="E184" s="106"/>
      <c r="F184" s="102"/>
    </row>
    <row r="185" spans="3:6" x14ac:dyDescent="0.3">
      <c r="C185" s="105"/>
      <c r="D185" s="106"/>
      <c r="E185" s="106"/>
      <c r="F185" s="102"/>
    </row>
    <row r="186" spans="3:6" x14ac:dyDescent="0.3">
      <c r="C186" s="105"/>
      <c r="D186" s="106"/>
      <c r="E186" s="106"/>
      <c r="F186" s="102"/>
    </row>
    <row r="187" spans="3:6" x14ac:dyDescent="0.3">
      <c r="C187" s="105"/>
      <c r="D187" s="106"/>
      <c r="E187" s="106"/>
      <c r="F187" s="102"/>
    </row>
    <row r="188" spans="3:6" x14ac:dyDescent="0.3">
      <c r="C188" s="105"/>
      <c r="D188" s="106"/>
      <c r="E188" s="106"/>
      <c r="F188" s="102"/>
    </row>
    <row r="189" spans="3:6" x14ac:dyDescent="0.3">
      <c r="C189" s="105"/>
      <c r="D189" s="106"/>
      <c r="E189" s="106"/>
      <c r="F189" s="102"/>
    </row>
    <row r="190" spans="3:6" x14ac:dyDescent="0.3">
      <c r="C190" s="105"/>
      <c r="D190" s="106"/>
      <c r="E190" s="106"/>
      <c r="F190" s="102"/>
    </row>
    <row r="191" spans="3:6" x14ac:dyDescent="0.3">
      <c r="C191" s="105"/>
      <c r="D191" s="106"/>
      <c r="E191" s="106"/>
      <c r="F191" s="102"/>
    </row>
    <row r="192" spans="3:6" x14ac:dyDescent="0.3">
      <c r="C192" s="105"/>
      <c r="D192" s="106"/>
      <c r="E192" s="106"/>
      <c r="F192" s="102"/>
    </row>
    <row r="193" spans="3:6" x14ac:dyDescent="0.3">
      <c r="C193" s="105"/>
      <c r="D193" s="106"/>
      <c r="E193" s="106"/>
      <c r="F193" s="102"/>
    </row>
    <row r="194" spans="3:6" x14ac:dyDescent="0.3">
      <c r="C194" s="105"/>
      <c r="D194" s="106"/>
      <c r="E194" s="106"/>
      <c r="F194" s="102"/>
    </row>
    <row r="195" spans="3:6" x14ac:dyDescent="0.3">
      <c r="C195" s="105"/>
      <c r="D195" s="106"/>
      <c r="E195" s="106"/>
      <c r="F195" s="102"/>
    </row>
    <row r="196" spans="3:6" x14ac:dyDescent="0.3">
      <c r="C196" s="105"/>
      <c r="D196" s="106"/>
      <c r="E196" s="106"/>
      <c r="F196" s="102"/>
    </row>
    <row r="197" spans="3:6" x14ac:dyDescent="0.3">
      <c r="C197" s="105"/>
      <c r="D197" s="106"/>
      <c r="E197" s="106"/>
      <c r="F197" s="102"/>
    </row>
    <row r="198" spans="3:6" x14ac:dyDescent="0.3">
      <c r="C198" s="105"/>
      <c r="D198" s="106"/>
      <c r="E198" s="106"/>
      <c r="F198" s="102"/>
    </row>
    <row r="199" spans="3:6" x14ac:dyDescent="0.3">
      <c r="C199" s="105"/>
      <c r="D199" s="106"/>
      <c r="E199" s="106"/>
      <c r="F199" s="102"/>
    </row>
    <row r="200" spans="3:6" x14ac:dyDescent="0.3">
      <c r="C200" s="105"/>
      <c r="D200" s="106"/>
      <c r="E200" s="106"/>
      <c r="F200" s="102"/>
    </row>
    <row r="201" spans="3:6" x14ac:dyDescent="0.3">
      <c r="C201" s="105"/>
      <c r="D201" s="106"/>
      <c r="E201" s="106"/>
      <c r="F201" s="102"/>
    </row>
    <row r="202" spans="3:6" x14ac:dyDescent="0.3">
      <c r="C202" s="105"/>
      <c r="D202" s="106"/>
      <c r="E202" s="106"/>
      <c r="F202" s="102"/>
    </row>
    <row r="203" spans="3:6" x14ac:dyDescent="0.3">
      <c r="C203" s="105"/>
      <c r="D203" s="106"/>
      <c r="E203" s="106"/>
      <c r="F203" s="102"/>
    </row>
    <row r="204" spans="3:6" x14ac:dyDescent="0.3">
      <c r="C204" s="105"/>
      <c r="D204" s="106"/>
      <c r="E204" s="106"/>
      <c r="F204" s="102"/>
    </row>
    <row r="205" spans="3:6" x14ac:dyDescent="0.3">
      <c r="C205" s="105"/>
      <c r="D205" s="106"/>
      <c r="E205" s="106"/>
      <c r="F205" s="102"/>
    </row>
    <row r="206" spans="3:6" x14ac:dyDescent="0.3">
      <c r="C206" s="105"/>
      <c r="D206" s="106"/>
      <c r="E206" s="106"/>
      <c r="F206" s="102"/>
    </row>
    <row r="207" spans="3:6" x14ac:dyDescent="0.3">
      <c r="C207" s="105"/>
      <c r="D207" s="106"/>
      <c r="E207" s="106"/>
      <c r="F207" s="102"/>
    </row>
    <row r="208" spans="3:6" x14ac:dyDescent="0.3">
      <c r="C208" s="105"/>
      <c r="D208" s="106"/>
      <c r="E208" s="106"/>
      <c r="F208" s="102"/>
    </row>
    <row r="209" spans="3:6" x14ac:dyDescent="0.3">
      <c r="C209" s="105"/>
      <c r="D209" s="106"/>
      <c r="E209" s="106"/>
      <c r="F209" s="102"/>
    </row>
    <row r="210" spans="3:6" x14ac:dyDescent="0.3">
      <c r="C210" s="105"/>
      <c r="D210" s="106"/>
      <c r="E210" s="106"/>
      <c r="F210" s="102"/>
    </row>
    <row r="211" spans="3:6" x14ac:dyDescent="0.3">
      <c r="C211" s="105"/>
      <c r="D211" s="106"/>
      <c r="E211" s="106"/>
      <c r="F211" s="102"/>
    </row>
    <row r="212" spans="3:6" x14ac:dyDescent="0.3">
      <c r="C212" s="105"/>
      <c r="D212" s="106"/>
      <c r="E212" s="106"/>
      <c r="F212" s="102"/>
    </row>
    <row r="213" spans="3:6" x14ac:dyDescent="0.3">
      <c r="C213" s="105"/>
      <c r="D213" s="106"/>
      <c r="E213" s="106"/>
      <c r="F213" s="102"/>
    </row>
    <row r="214" spans="3:6" x14ac:dyDescent="0.3">
      <c r="C214" s="105"/>
      <c r="D214" s="106"/>
      <c r="E214" s="106"/>
      <c r="F214" s="102"/>
    </row>
    <row r="215" spans="3:6" x14ac:dyDescent="0.3">
      <c r="C215" s="105"/>
      <c r="D215" s="106"/>
      <c r="E215" s="106"/>
      <c r="F215" s="102"/>
    </row>
    <row r="216" spans="3:6" x14ac:dyDescent="0.3">
      <c r="C216" s="105"/>
      <c r="D216" s="106"/>
      <c r="E216" s="106"/>
      <c r="F216" s="102"/>
    </row>
    <row r="217" spans="3:6" x14ac:dyDescent="0.3">
      <c r="C217" s="105"/>
      <c r="D217" s="106"/>
      <c r="E217" s="106"/>
      <c r="F217" s="102"/>
    </row>
    <row r="218" spans="3:6" x14ac:dyDescent="0.3">
      <c r="C218" s="105"/>
      <c r="D218" s="106"/>
      <c r="E218" s="106"/>
      <c r="F218" s="102"/>
    </row>
    <row r="219" spans="3:6" x14ac:dyDescent="0.3">
      <c r="C219" s="105"/>
      <c r="D219" s="106"/>
      <c r="E219" s="106"/>
      <c r="F219" s="102"/>
    </row>
    <row r="220" spans="3:6" x14ac:dyDescent="0.3">
      <c r="C220" s="105"/>
      <c r="D220" s="106"/>
      <c r="E220" s="106"/>
      <c r="F220" s="102"/>
    </row>
    <row r="221" spans="3:6" x14ac:dyDescent="0.3">
      <c r="C221" s="105"/>
      <c r="D221" s="106"/>
      <c r="E221" s="106"/>
      <c r="F221" s="102"/>
    </row>
    <row r="222" spans="3:6" x14ac:dyDescent="0.3">
      <c r="C222" s="105"/>
      <c r="D222" s="106"/>
      <c r="E222" s="106"/>
      <c r="F222" s="102"/>
    </row>
    <row r="223" spans="3:6" x14ac:dyDescent="0.3">
      <c r="C223" s="105"/>
      <c r="D223" s="106"/>
      <c r="E223" s="106"/>
      <c r="F223" s="102"/>
    </row>
    <row r="224" spans="3:6" x14ac:dyDescent="0.3">
      <c r="C224" s="105"/>
      <c r="D224" s="106"/>
      <c r="E224" s="106"/>
      <c r="F224" s="102"/>
    </row>
    <row r="225" spans="3:6" x14ac:dyDescent="0.3">
      <c r="C225" s="105"/>
      <c r="D225" s="106"/>
      <c r="E225" s="106"/>
      <c r="F225" s="102"/>
    </row>
    <row r="226" spans="3:6" x14ac:dyDescent="0.3">
      <c r="C226" s="105"/>
      <c r="D226" s="106"/>
      <c r="E226" s="106"/>
      <c r="F226" s="102"/>
    </row>
    <row r="227" spans="3:6" x14ac:dyDescent="0.3">
      <c r="C227" s="105"/>
      <c r="D227" s="106"/>
      <c r="E227" s="106"/>
      <c r="F227" s="102"/>
    </row>
    <row r="228" spans="3:6" x14ac:dyDescent="0.3">
      <c r="C228" s="105"/>
      <c r="D228" s="106"/>
      <c r="E228" s="106"/>
      <c r="F228" s="102"/>
    </row>
    <row r="229" spans="3:6" x14ac:dyDescent="0.3">
      <c r="C229" s="105"/>
      <c r="D229" s="106"/>
      <c r="E229" s="106"/>
      <c r="F229" s="102"/>
    </row>
    <row r="230" spans="3:6" x14ac:dyDescent="0.3">
      <c r="C230" s="105"/>
      <c r="D230" s="106"/>
      <c r="E230" s="106"/>
      <c r="F230" s="102"/>
    </row>
    <row r="231" spans="3:6" x14ac:dyDescent="0.3">
      <c r="C231" s="105"/>
      <c r="D231" s="106"/>
      <c r="E231" s="106"/>
      <c r="F231" s="102"/>
    </row>
    <row r="232" spans="3:6" x14ac:dyDescent="0.3">
      <c r="C232" s="105"/>
      <c r="D232" s="106"/>
      <c r="E232" s="106"/>
      <c r="F232" s="102"/>
    </row>
    <row r="233" spans="3:6" x14ac:dyDescent="0.3">
      <c r="C233" s="105"/>
      <c r="D233" s="106"/>
      <c r="E233" s="106"/>
      <c r="F233" s="102"/>
    </row>
    <row r="234" spans="3:6" x14ac:dyDescent="0.3">
      <c r="C234" s="105"/>
      <c r="D234" s="106"/>
      <c r="E234" s="106"/>
      <c r="F234" s="102"/>
    </row>
    <row r="235" spans="3:6" x14ac:dyDescent="0.3">
      <c r="C235" s="105"/>
      <c r="D235" s="106"/>
      <c r="E235" s="106"/>
      <c r="F235" s="102"/>
    </row>
    <row r="236" spans="3:6" x14ac:dyDescent="0.3">
      <c r="C236" s="105"/>
      <c r="D236" s="106"/>
      <c r="E236" s="106"/>
      <c r="F236" s="102"/>
    </row>
    <row r="237" spans="3:6" x14ac:dyDescent="0.3">
      <c r="C237" s="105"/>
      <c r="D237" s="106"/>
      <c r="E237" s="106"/>
      <c r="F237" s="102"/>
    </row>
    <row r="238" spans="3:6" x14ac:dyDescent="0.3">
      <c r="C238" s="105"/>
      <c r="D238" s="106"/>
      <c r="E238" s="106"/>
      <c r="F238" s="102"/>
    </row>
    <row r="239" spans="3:6" x14ac:dyDescent="0.3">
      <c r="C239" s="105"/>
      <c r="D239" s="106"/>
      <c r="E239" s="106"/>
      <c r="F239" s="102"/>
    </row>
    <row r="240" spans="3:6" x14ac:dyDescent="0.3">
      <c r="C240" s="105"/>
      <c r="D240" s="106"/>
      <c r="E240" s="106"/>
      <c r="F240" s="102"/>
    </row>
    <row r="241" spans="3:6" x14ac:dyDescent="0.3">
      <c r="C241" s="105"/>
      <c r="D241" s="106"/>
      <c r="E241" s="106"/>
      <c r="F241" s="102"/>
    </row>
  </sheetData>
  <sortState xmlns:xlrd2="http://schemas.microsoft.com/office/spreadsheetml/2017/richdata2" ref="C37:I47">
    <sortCondition descending="1" ref="F35:F45"/>
  </sortState>
  <mergeCells count="32">
    <mergeCell ref="A22:B22"/>
    <mergeCell ref="C22:H22"/>
    <mergeCell ref="J22:K22"/>
    <mergeCell ref="A23:B23"/>
    <mergeCell ref="C23:H23"/>
    <mergeCell ref="J23:K23"/>
    <mergeCell ref="G15:H15"/>
    <mergeCell ref="C15:D15"/>
    <mergeCell ref="C16:D16"/>
    <mergeCell ref="G16:H16"/>
    <mergeCell ref="A18:K18"/>
    <mergeCell ref="J20:K20"/>
    <mergeCell ref="C20:H20"/>
    <mergeCell ref="A21:B21"/>
    <mergeCell ref="C21:H21"/>
    <mergeCell ref="J21:K21"/>
    <mergeCell ref="C12:F13"/>
    <mergeCell ref="J24:K24"/>
    <mergeCell ref="A24:H24"/>
    <mergeCell ref="A9:B9"/>
    <mergeCell ref="A10:B10"/>
    <mergeCell ref="A11:B11"/>
    <mergeCell ref="A12:B12"/>
    <mergeCell ref="I14:J14"/>
    <mergeCell ref="A14:B14"/>
    <mergeCell ref="G14:H14"/>
    <mergeCell ref="C14:D14"/>
    <mergeCell ref="I15:J15"/>
    <mergeCell ref="I16:J16"/>
    <mergeCell ref="A20:B20"/>
    <mergeCell ref="A15:B15"/>
    <mergeCell ref="A16:B16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7" fitToHeight="0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20"/>
  <sheetViews>
    <sheetView showGridLines="0" view="pageBreakPreview" zoomScale="90" zoomScaleNormal="70" zoomScaleSheetLayoutView="90" zoomScalePageLayoutView="85" workbookViewId="0">
      <selection activeCell="A21" sqref="A21:I105"/>
    </sheetView>
  </sheetViews>
  <sheetFormatPr defaultColWidth="9.109375" defaultRowHeight="13.8" x14ac:dyDescent="0.3"/>
  <cols>
    <col min="1" max="1" width="9.109375" style="1" customWidth="1"/>
    <col min="2" max="2" width="14.44140625" style="1" customWidth="1"/>
    <col min="3" max="3" width="63.33203125" style="1" customWidth="1"/>
    <col min="4" max="4" width="6.33203125" style="1" customWidth="1"/>
    <col min="5" max="5" width="8.33203125" style="1" customWidth="1"/>
    <col min="6" max="6" width="13.33203125" style="1" customWidth="1"/>
    <col min="7" max="7" width="13.5546875" style="1" bestFit="1" customWidth="1"/>
    <col min="8" max="8" width="9.109375" style="1" customWidth="1"/>
    <col min="9" max="9" width="15" style="1" bestFit="1" customWidth="1"/>
    <col min="10" max="10" width="15.109375" style="1" bestFit="1" customWidth="1"/>
    <col min="11" max="16384" width="9.109375" style="1"/>
  </cols>
  <sheetData>
    <row r="1" spans="1:10" x14ac:dyDescent="0.3">
      <c r="A1" s="17"/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3">
      <c r="A2" s="21"/>
      <c r="B2" s="20"/>
      <c r="C2" s="20"/>
      <c r="D2" s="20"/>
      <c r="E2" s="20"/>
      <c r="F2" s="20"/>
      <c r="G2" s="20"/>
      <c r="H2" s="20"/>
      <c r="I2" s="20"/>
      <c r="J2" s="22"/>
    </row>
    <row r="3" spans="1:10" x14ac:dyDescent="0.3">
      <c r="A3" s="21"/>
      <c r="B3" s="20"/>
      <c r="C3" s="20"/>
      <c r="D3" s="20"/>
      <c r="E3" s="20"/>
      <c r="F3" s="20"/>
      <c r="G3" s="20"/>
      <c r="H3" s="20"/>
      <c r="I3" s="20"/>
      <c r="J3" s="22"/>
    </row>
    <row r="4" spans="1:10" x14ac:dyDescent="0.3">
      <c r="A4" s="21"/>
      <c r="B4" s="20"/>
      <c r="C4" s="20"/>
      <c r="D4" s="20"/>
      <c r="E4" s="20"/>
      <c r="F4" s="20"/>
      <c r="G4" s="20"/>
      <c r="H4" s="20"/>
      <c r="I4" s="20"/>
      <c r="J4" s="22"/>
    </row>
    <row r="5" spans="1:10" x14ac:dyDescent="0.3">
      <c r="A5" s="21"/>
      <c r="B5" s="20"/>
      <c r="C5" s="20"/>
      <c r="D5" s="20"/>
      <c r="E5" s="20"/>
      <c r="F5" s="20"/>
      <c r="G5" s="20"/>
      <c r="H5" s="20"/>
      <c r="I5" s="20"/>
      <c r="J5" s="22"/>
    </row>
    <row r="6" spans="1:10" x14ac:dyDescent="0.3">
      <c r="A6" s="21"/>
      <c r="B6" s="20"/>
      <c r="C6" s="20"/>
      <c r="D6" s="20"/>
      <c r="E6" s="20"/>
      <c r="F6" s="20"/>
      <c r="G6" s="20"/>
      <c r="H6" s="20"/>
      <c r="I6" s="20"/>
      <c r="J6" s="22"/>
    </row>
    <row r="7" spans="1:10" x14ac:dyDescent="0.3">
      <c r="A7" s="21"/>
      <c r="B7" s="20"/>
      <c r="C7" s="20"/>
      <c r="D7" s="20"/>
      <c r="E7" s="20"/>
      <c r="F7" s="20"/>
      <c r="G7" s="20"/>
      <c r="H7" s="20"/>
      <c r="I7" s="20"/>
      <c r="J7" s="22"/>
    </row>
    <row r="8" spans="1:10" ht="47.4" customHeight="1" thickBot="1" x14ac:dyDescent="0.35">
      <c r="A8" s="23"/>
      <c r="B8" s="24"/>
      <c r="C8" s="24"/>
      <c r="D8" s="24"/>
      <c r="E8" s="24"/>
      <c r="F8" s="24"/>
      <c r="G8" s="24"/>
      <c r="H8" s="24"/>
      <c r="I8" s="24"/>
      <c r="J8" s="25"/>
    </row>
    <row r="9" spans="1:10" x14ac:dyDescent="0.3">
      <c r="A9" s="281" t="s">
        <v>5</v>
      </c>
      <c r="B9" s="282"/>
      <c r="C9" s="20" t="str">
        <f>CAPA!D10</f>
        <v>INSTALAÇÕES ELÉTRICAS/LÓGICAS</v>
      </c>
      <c r="D9" s="20"/>
      <c r="E9" s="20"/>
      <c r="F9" s="20"/>
      <c r="G9" s="20"/>
      <c r="H9" s="20"/>
      <c r="I9" s="20"/>
      <c r="J9" s="22"/>
    </row>
    <row r="10" spans="1:10" x14ac:dyDescent="0.3">
      <c r="A10" s="281" t="s">
        <v>7</v>
      </c>
      <c r="B10" s="282"/>
      <c r="C10" s="20" t="str">
        <f>CAPA!D11</f>
        <v>SENAR/MT</v>
      </c>
      <c r="D10" s="20"/>
      <c r="E10" s="20"/>
      <c r="F10" s="20"/>
      <c r="G10" s="20"/>
      <c r="H10" s="20"/>
      <c r="I10" s="20"/>
      <c r="J10" s="22"/>
    </row>
    <row r="11" spans="1:10" x14ac:dyDescent="0.3">
      <c r="A11" s="281" t="s">
        <v>15</v>
      </c>
      <c r="B11" s="282"/>
      <c r="C11" s="20" t="str">
        <f>CAPA!D12</f>
        <v>Cuiabá/MT</v>
      </c>
      <c r="D11" s="20"/>
      <c r="E11" s="20"/>
      <c r="F11" s="20"/>
      <c r="G11" s="20"/>
      <c r="H11" s="20"/>
      <c r="I11" s="20"/>
      <c r="J11" s="22"/>
    </row>
    <row r="12" spans="1:10" x14ac:dyDescent="0.3">
      <c r="A12" s="281" t="s">
        <v>8</v>
      </c>
      <c r="B12" s="282"/>
      <c r="C12" s="276" t="str">
        <f>CAPA!D13</f>
        <v xml:space="preserve">Rua Eng. Edgard Prado Arze, S/N , Quadra 01 - Setor A, Centro Político Administrativo
</v>
      </c>
      <c r="D12" s="276"/>
      <c r="E12" s="276"/>
      <c r="F12" s="276"/>
      <c r="G12" s="20"/>
      <c r="H12" s="20"/>
      <c r="I12" s="20"/>
      <c r="J12" s="22"/>
    </row>
    <row r="13" spans="1:10" x14ac:dyDescent="0.3">
      <c r="A13" s="21"/>
      <c r="B13" s="20"/>
      <c r="C13" s="276"/>
      <c r="D13" s="276"/>
      <c r="E13" s="276"/>
      <c r="F13" s="276"/>
      <c r="G13" s="20"/>
      <c r="H13" s="20"/>
      <c r="I13" s="20"/>
      <c r="J13" s="22"/>
    </row>
    <row r="14" spans="1:10" x14ac:dyDescent="0.3">
      <c r="A14" s="281" t="s">
        <v>43</v>
      </c>
      <c r="B14" s="282"/>
      <c r="C14" s="284">
        <f>CAPA!D20</f>
        <v>0.28347674918197008</v>
      </c>
      <c r="D14" s="284"/>
      <c r="E14" s="20"/>
      <c r="F14" s="20"/>
      <c r="G14" s="282" t="s">
        <v>25</v>
      </c>
      <c r="H14" s="282"/>
      <c r="I14" s="295" t="str">
        <f>CAPA!I21</f>
        <v>03 meses</v>
      </c>
      <c r="J14" s="300"/>
    </row>
    <row r="15" spans="1:10" x14ac:dyDescent="0.3">
      <c r="A15" s="281" t="s">
        <v>19</v>
      </c>
      <c r="B15" s="282"/>
      <c r="C15" s="284" t="str">
        <f>CAPA!D22</f>
        <v>SINAPI-MT</v>
      </c>
      <c r="D15" s="284"/>
      <c r="E15" s="20"/>
      <c r="F15" s="20"/>
      <c r="G15" s="282" t="s">
        <v>24</v>
      </c>
      <c r="H15" s="282"/>
      <c r="I15" s="285" t="str">
        <f>CAPA!I20</f>
        <v>JAN/2022</v>
      </c>
      <c r="J15" s="299"/>
    </row>
    <row r="16" spans="1:10" x14ac:dyDescent="0.3">
      <c r="A16" s="281" t="s">
        <v>20</v>
      </c>
      <c r="B16" s="282"/>
      <c r="C16" s="295" t="str">
        <f>CAPA!I22</f>
        <v>Desonerado</v>
      </c>
      <c r="D16" s="295"/>
      <c r="E16" s="20"/>
      <c r="F16" s="20"/>
      <c r="G16" s="282"/>
      <c r="H16" s="282"/>
      <c r="I16" s="284"/>
      <c r="J16" s="301"/>
    </row>
    <row r="17" spans="1:21" ht="14.4" thickBot="1" x14ac:dyDescent="0.35">
      <c r="A17" s="21"/>
      <c r="B17" s="20"/>
      <c r="C17" s="20"/>
      <c r="D17" s="20"/>
      <c r="E17" s="20"/>
      <c r="F17" s="20"/>
      <c r="G17" s="20"/>
      <c r="H17" s="20"/>
      <c r="I17" s="20"/>
      <c r="J17" s="22"/>
    </row>
    <row r="18" spans="1:21" ht="14.4" thickBot="1" x14ac:dyDescent="0.35">
      <c r="A18" s="302" t="s">
        <v>174</v>
      </c>
      <c r="B18" s="303"/>
      <c r="C18" s="303"/>
      <c r="D18" s="303"/>
      <c r="E18" s="303"/>
      <c r="F18" s="303"/>
      <c r="G18" s="303"/>
      <c r="H18" s="303"/>
      <c r="I18" s="303"/>
      <c r="J18" s="304"/>
    </row>
    <row r="19" spans="1:21" x14ac:dyDescent="0.3">
      <c r="A19" s="309" t="s">
        <v>2</v>
      </c>
      <c r="B19" s="311" t="s">
        <v>28</v>
      </c>
      <c r="C19" s="311" t="s">
        <v>3</v>
      </c>
      <c r="D19" s="311" t="s">
        <v>13</v>
      </c>
      <c r="E19" s="311" t="s">
        <v>9</v>
      </c>
      <c r="F19" s="313" t="s">
        <v>30</v>
      </c>
      <c r="G19" s="305" t="s">
        <v>31</v>
      </c>
      <c r="H19" s="305" t="s">
        <v>0</v>
      </c>
      <c r="I19" s="305" t="s">
        <v>94</v>
      </c>
      <c r="J19" s="307" t="s">
        <v>175</v>
      </c>
    </row>
    <row r="20" spans="1:21" ht="14.4" thickBot="1" x14ac:dyDescent="0.35">
      <c r="A20" s="310"/>
      <c r="B20" s="312"/>
      <c r="C20" s="312"/>
      <c r="D20" s="312"/>
      <c r="E20" s="312"/>
      <c r="F20" s="314"/>
      <c r="G20" s="306"/>
      <c r="H20" s="306"/>
      <c r="I20" s="306"/>
      <c r="J20" s="308"/>
    </row>
    <row r="21" spans="1:21" s="109" customFormat="1" ht="27.6" x14ac:dyDescent="0.3">
      <c r="A21" s="218" t="str">
        <f>ORÇAMENTO!A110</f>
        <v>3.2</v>
      </c>
      <c r="B21" s="137" t="str">
        <f>ORÇAMENTO!C110</f>
        <v>COMPOSIÇÃO 66</v>
      </c>
      <c r="C21" s="117" t="str">
        <f>ORÇAMENTO!D110</f>
        <v xml:space="preserve">CONECTORIZAÇÃO, FECHAMENTO DE RACK E CERTIFICAÇÃO DE PONTOS DE LÓGICA </v>
      </c>
      <c r="D21" s="217" t="str">
        <f>ORÇAMENTO!E110</f>
        <v>UN</v>
      </c>
      <c r="E21" s="217">
        <f>ORÇAMENTO!F110</f>
        <v>1020</v>
      </c>
      <c r="F21" s="96">
        <f>ORÇAMENTO!H110</f>
        <v>70.510000000000005</v>
      </c>
      <c r="G21" s="96">
        <f>ORÇAMENTO!I110</f>
        <v>71920.2</v>
      </c>
      <c r="H21" s="138">
        <f>G21/RESUMO!$J$24</f>
        <v>0.107221217075802</v>
      </c>
      <c r="I21" s="139">
        <f>H21</f>
        <v>0.107221217075802</v>
      </c>
      <c r="J21" s="217" t="str">
        <f t="shared" ref="J21:J51" si="0">IF(I21&lt;=0.8,"A",(IF(I21&lt;=0.95,"B","C")))</f>
        <v>A</v>
      </c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109" customFormat="1" ht="27.6" x14ac:dyDescent="0.3">
      <c r="A22" s="218" t="str">
        <f>ORÇAMENTO!A94</f>
        <v>2.3.50</v>
      </c>
      <c r="B22" s="137" t="str">
        <f>ORÇAMENTO!C94</f>
        <v>COMPOSIÇÃO 53</v>
      </c>
      <c r="C22" s="117" t="str">
        <f>ORÇAMENTO!D94</f>
        <v>CANALETA DE ALUMÍNIO COM TAMPA - 73X25MM - FORNECIMENTO E INSTALAÇÃO</v>
      </c>
      <c r="D22" s="217" t="str">
        <f>ORÇAMENTO!E94</f>
        <v>M</v>
      </c>
      <c r="E22" s="217">
        <f>ORÇAMENTO!F94</f>
        <v>432.8</v>
      </c>
      <c r="F22" s="96">
        <f>ORÇAMENTO!H94</f>
        <v>165.11</v>
      </c>
      <c r="G22" s="96">
        <f>ORÇAMENTO!I94</f>
        <v>71459.600000000006</v>
      </c>
      <c r="H22" s="138">
        <f>G22/RESUMO!$J$24</f>
        <v>0.10653453805398179</v>
      </c>
      <c r="I22" s="139">
        <f t="shared" ref="I22:I53" si="1">I21+H22</f>
        <v>0.21375575512978379</v>
      </c>
      <c r="J22" s="217" t="str">
        <f t="shared" si="0"/>
        <v>A</v>
      </c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109" customFormat="1" ht="27.6" x14ac:dyDescent="0.3">
      <c r="A23" s="218" t="str">
        <f>ORÇAMENTO!A53</f>
        <v>2.3.9</v>
      </c>
      <c r="B23" s="137" t="str">
        <f>ORÇAMENTO!C53</f>
        <v>98297</v>
      </c>
      <c r="C23" s="117" t="str">
        <f>ORÇAMENTO!D53</f>
        <v>CABO ELETRÔNICO CATEGORIA 6, INSTALADO EM EDIFICAÇÃO INSTITUCIONAL - FORNECIMENTO E INSTALAÇÃO. AF_11/2019</v>
      </c>
      <c r="D23" s="217" t="str">
        <f>ORÇAMENTO!E53</f>
        <v>M</v>
      </c>
      <c r="E23" s="217">
        <f>ORÇAMENTO!F53</f>
        <v>20232.599999999999</v>
      </c>
      <c r="F23" s="96">
        <f>ORÇAMENTO!H53</f>
        <v>3.5</v>
      </c>
      <c r="G23" s="96">
        <f>ORÇAMENTO!I53</f>
        <v>70814.100000000006</v>
      </c>
      <c r="H23" s="138">
        <f>G23/RESUMO!$J$24</f>
        <v>0.10557220347173049</v>
      </c>
      <c r="I23" s="139">
        <f t="shared" si="1"/>
        <v>0.31932795860151431</v>
      </c>
      <c r="J23" s="217" t="str">
        <f t="shared" si="0"/>
        <v>A</v>
      </c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s="109" customFormat="1" ht="27.6" x14ac:dyDescent="0.3">
      <c r="A24" s="218" t="str">
        <f>ORÇAMENTO!A39</f>
        <v>2.2.1</v>
      </c>
      <c r="B24" s="137" t="str">
        <f>ORÇAMENTO!C39</f>
        <v>COMPOSIÇÃO 14</v>
      </c>
      <c r="C24" s="117" t="str">
        <f>ORÇAMENTO!D39</f>
        <v>CÂMERA IP - POE - VIP 3260 Z FULL HD - ZOOM ÓPTICO 5X - LENTE 2.7MM - WDR REAL (120DB) - FORNECIMENTO E INSTALAÇÃO</v>
      </c>
      <c r="D24" s="228" t="str">
        <f>ORÇAMENTO!E39</f>
        <v>UN</v>
      </c>
      <c r="E24" s="228">
        <f>ORÇAMENTO!F39</f>
        <v>27</v>
      </c>
      <c r="F24" s="96">
        <f>ORÇAMENTO!H39</f>
        <v>2372.23</v>
      </c>
      <c r="G24" s="96">
        <f>ORÇAMENTO!I39</f>
        <v>64050.21</v>
      </c>
      <c r="H24" s="138">
        <f>G24/RESUMO!$J$24</f>
        <v>9.5488353343854776E-2</v>
      </c>
      <c r="I24" s="139">
        <f t="shared" si="1"/>
        <v>0.41481631194536905</v>
      </c>
      <c r="J24" s="228" t="str">
        <f t="shared" ref="J24" si="2">IF(I24&lt;=0.8,"A",(IF(I24&lt;=0.95,"B","C")))</f>
        <v>A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s="109" customFormat="1" x14ac:dyDescent="0.3">
      <c r="A25" s="218" t="str">
        <f>ORÇAMENTO!A22</f>
        <v>1.3</v>
      </c>
      <c r="B25" s="137" t="str">
        <f>ORÇAMENTO!C22</f>
        <v>COMPOSIÇÃO 2</v>
      </c>
      <c r="C25" s="117" t="str">
        <f>ORÇAMENTO!D22</f>
        <v>ADMINISTRAÇÃO DE OBRAS</v>
      </c>
      <c r="D25" s="217" t="str">
        <f>ORÇAMENTO!E22</f>
        <v>MÊS</v>
      </c>
      <c r="E25" s="217">
        <f>ORÇAMENTO!F22</f>
        <v>3</v>
      </c>
      <c r="F25" s="96">
        <f>ORÇAMENTO!H22</f>
        <v>17705.7</v>
      </c>
      <c r="G25" s="96">
        <f>ORÇAMENTO!I22</f>
        <v>53117.1</v>
      </c>
      <c r="H25" s="138">
        <f>G25/RESUMO!$J$24</f>
        <v>7.9188880308134327E-2</v>
      </c>
      <c r="I25" s="139">
        <f t="shared" si="1"/>
        <v>0.49400519225350337</v>
      </c>
      <c r="J25" s="217" t="str">
        <f t="shared" si="0"/>
        <v>A</v>
      </c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s="109" customFormat="1" ht="27.6" x14ac:dyDescent="0.3">
      <c r="A26" s="218" t="str">
        <f>ORÇAMENTO!A40</f>
        <v>2.2.2</v>
      </c>
      <c r="B26" s="137" t="str">
        <f>ORÇAMENTO!C40</f>
        <v>COMPOSIÇÃO 15</v>
      </c>
      <c r="C26" s="117" t="str">
        <f>ORÇAMENTO!D40</f>
        <v>CÂMERA IP - POE - VIP 3230 B SÉRIE 3000 FULL HD - LENTE 2.8MM - FORNECIMENTO E INSTALAÇÃO</v>
      </c>
      <c r="D26" s="217" t="str">
        <f>ORÇAMENTO!E40</f>
        <v>UN</v>
      </c>
      <c r="E26" s="217">
        <f>ORÇAMENTO!F40</f>
        <v>47</v>
      </c>
      <c r="F26" s="96">
        <f>ORÇAMENTO!H40</f>
        <v>837.92</v>
      </c>
      <c r="G26" s="96">
        <f>ORÇAMENTO!I40</f>
        <v>39382.239999999998</v>
      </c>
      <c r="H26" s="138">
        <f>G26/RESUMO!$J$24</f>
        <v>5.8712457751387406E-2</v>
      </c>
      <c r="I26" s="139">
        <f t="shared" si="1"/>
        <v>0.55271765000489081</v>
      </c>
      <c r="J26" s="217" t="str">
        <f t="shared" si="0"/>
        <v>A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s="109" customFormat="1" ht="27.6" x14ac:dyDescent="0.3">
      <c r="A27" s="218" t="str">
        <f>ORÇAMENTO!A54</f>
        <v>2.3.10</v>
      </c>
      <c r="B27" s="137" t="str">
        <f>ORÇAMENTO!C54</f>
        <v>COMPOSIÇÃO 19</v>
      </c>
      <c r="C27" s="117" t="str">
        <f>ORÇAMENTO!D54</f>
        <v>PATCH CORD, CATEGORIA 6, EXTENSAO DE 2,50 M - FORNECIMENTO E INSTALAÇÃO</v>
      </c>
      <c r="D27" s="217" t="str">
        <f>ORÇAMENTO!E54</f>
        <v>UN</v>
      </c>
      <c r="E27" s="217">
        <f>ORÇAMENTO!F54</f>
        <v>731</v>
      </c>
      <c r="F27" s="96">
        <f>ORÇAMENTO!H54</f>
        <v>44.69</v>
      </c>
      <c r="G27" s="96">
        <f>ORÇAMENTO!I54</f>
        <v>32668.39</v>
      </c>
      <c r="H27" s="138">
        <f>G27/RESUMO!$J$24</f>
        <v>4.8703209052629988E-2</v>
      </c>
      <c r="I27" s="139">
        <f t="shared" si="1"/>
        <v>0.60142085905752085</v>
      </c>
      <c r="J27" s="217" t="str">
        <f t="shared" si="0"/>
        <v>A</v>
      </c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s="109" customFormat="1" ht="27.6" x14ac:dyDescent="0.3">
      <c r="A28" s="218" t="str">
        <f>ORÇAMENTO!A34</f>
        <v>2.1.9</v>
      </c>
      <c r="B28" s="137" t="str">
        <f>ORÇAMENTO!C34</f>
        <v>98302</v>
      </c>
      <c r="C28" s="117" t="str">
        <f>ORÇAMENTO!D34</f>
        <v>PATCH PANEL 24 PORTAS, CATEGORIA 6 - FORNECIMENTO E INSTALAÇÃO. AF_11/2019</v>
      </c>
      <c r="D28" s="217" t="str">
        <f>ORÇAMENTO!E34</f>
        <v>UN</v>
      </c>
      <c r="E28" s="217">
        <f>ORÇAMENTO!F34</f>
        <v>36</v>
      </c>
      <c r="F28" s="96">
        <f>ORÇAMENTO!H34</f>
        <v>866.93</v>
      </c>
      <c r="G28" s="96">
        <f>ORÇAMENTO!I34</f>
        <v>31209.48</v>
      </c>
      <c r="H28" s="138">
        <f>G28/RESUMO!$J$24</f>
        <v>4.6528213629868954E-2</v>
      </c>
      <c r="I28" s="139">
        <f t="shared" si="1"/>
        <v>0.64794907268738977</v>
      </c>
      <c r="J28" s="217" t="str">
        <f t="shared" si="0"/>
        <v>A</v>
      </c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s="109" customFormat="1" ht="27.6" x14ac:dyDescent="0.3">
      <c r="A29" s="218" t="str">
        <f>ORÇAMENTO!A43</f>
        <v>2.2.5</v>
      </c>
      <c r="B29" s="137" t="str">
        <f>ORÇAMENTO!C43</f>
        <v>COMPOSIÇÃO 18</v>
      </c>
      <c r="C29" s="117" t="str">
        <f>ORÇAMENTO!D43</f>
        <v>HD DE 4TB - COMPATÍVEL COM NVR - REF. SEAGATE ST4000VX000 - FORNECIMENTO E INSTALAÇÃO</v>
      </c>
      <c r="D29" s="217" t="str">
        <f>ORÇAMENTO!E43</f>
        <v>UN</v>
      </c>
      <c r="E29" s="217">
        <f>ORÇAMENTO!F43</f>
        <v>16</v>
      </c>
      <c r="F29" s="96">
        <f>ORÇAMENTO!H43</f>
        <v>1209.6199999999999</v>
      </c>
      <c r="G29" s="96">
        <f>ORÇAMENTO!I43</f>
        <v>19353.919999999998</v>
      </c>
      <c r="H29" s="138">
        <f>G29/RESUMO!$J$24</f>
        <v>2.8853519005616026E-2</v>
      </c>
      <c r="I29" s="139">
        <f t="shared" si="1"/>
        <v>0.67680259169300583</v>
      </c>
      <c r="J29" s="217" t="str">
        <f t="shared" si="0"/>
        <v>A</v>
      </c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s="109" customFormat="1" ht="27.6" x14ac:dyDescent="0.3">
      <c r="A30" s="218" t="str">
        <f>ORÇAMENTO!A106</f>
        <v>2.3.62</v>
      </c>
      <c r="B30" s="137" t="str">
        <f>ORÇAMENTO!C106</f>
        <v>COMPOSIÇÃO 65</v>
      </c>
      <c r="C30" s="117" t="str">
        <f>ORÇAMENTO!D106</f>
        <v>PORTA EQUIPAMENTOS P/ 3 RJ45 - PARA CANALETA DE ALUMÍNIO - FORNECIMENTO E INSTALAÇÃO</v>
      </c>
      <c r="D30" s="217" t="str">
        <f>ORÇAMENTO!E106</f>
        <v>UN</v>
      </c>
      <c r="E30" s="217">
        <f>ORÇAMENTO!F106</f>
        <v>274</v>
      </c>
      <c r="F30" s="96">
        <f>ORÇAMENTO!H106</f>
        <v>53.27</v>
      </c>
      <c r="G30" s="96">
        <f>ORÇAMENTO!I106</f>
        <v>14595.98</v>
      </c>
      <c r="H30" s="138">
        <f>G30/RESUMO!$J$24</f>
        <v>2.1760211178696174E-2</v>
      </c>
      <c r="I30" s="139">
        <f t="shared" si="1"/>
        <v>0.69856280287170203</v>
      </c>
      <c r="J30" s="217" t="str">
        <f t="shared" si="0"/>
        <v>A</v>
      </c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s="109" customFormat="1" ht="27.6" x14ac:dyDescent="0.3">
      <c r="A31" s="218" t="str">
        <f>ORÇAMENTO!A42</f>
        <v>2.2.4</v>
      </c>
      <c r="B31" s="137" t="str">
        <f>ORÇAMENTO!C42</f>
        <v>COMPOSIÇÃO 17</v>
      </c>
      <c r="C31" s="117" t="str">
        <f>ORÇAMENTO!D42</f>
        <v>GRAVADOR DE VÍDEO NVR 32 CANAIS - RESOLUÇÃO DE GRAVAÇÃO 8MP(4K) - 8HD'S - REF. INTELBRAS NVD 7132 - FORNECIMENTO E INSTALAÇÃO</v>
      </c>
      <c r="D31" s="217" t="str">
        <f>ORÇAMENTO!E42</f>
        <v>UN</v>
      </c>
      <c r="E31" s="217">
        <f>ORÇAMENTO!F42</f>
        <v>2</v>
      </c>
      <c r="F31" s="96">
        <f>ORÇAMENTO!H42</f>
        <v>5901.97</v>
      </c>
      <c r="G31" s="96">
        <f>ORÇAMENTO!I42</f>
        <v>11803.94</v>
      </c>
      <c r="H31" s="138">
        <f>G31/RESUMO!$J$24</f>
        <v>1.7597737674391094E-2</v>
      </c>
      <c r="I31" s="139">
        <f t="shared" si="1"/>
        <v>0.71616054054609313</v>
      </c>
      <c r="J31" s="217" t="str">
        <f t="shared" si="0"/>
        <v>A</v>
      </c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s="109" customFormat="1" ht="27.6" x14ac:dyDescent="0.3">
      <c r="A32" s="218" t="str">
        <f>ORÇAMENTO!A68</f>
        <v>2.3.24</v>
      </c>
      <c r="B32" s="137" t="str">
        <f>ORÇAMENTO!C68</f>
        <v>COMPOSIÇÃO 27</v>
      </c>
      <c r="C32" s="117" t="str">
        <f>ORÇAMENTO!D68</f>
        <v>FIXAÇÃO DE PERFILADO 38X38, EM LAJE, COM BARRA ROSCADA - FORNECIMENTO E INSTALAÇÃO</v>
      </c>
      <c r="D32" s="217" t="str">
        <f>ORÇAMENTO!E68</f>
        <v>M</v>
      </c>
      <c r="E32" s="217">
        <f>ORÇAMENTO!F68</f>
        <v>342</v>
      </c>
      <c r="F32" s="96">
        <f>ORÇAMENTO!H68</f>
        <v>32.700000000000003</v>
      </c>
      <c r="G32" s="96">
        <f>ORÇAMENTO!I68</f>
        <v>11183.4</v>
      </c>
      <c r="H32" s="138">
        <f>G32/RESUMO!$J$24</f>
        <v>1.6672614356544116E-2</v>
      </c>
      <c r="I32" s="139">
        <f t="shared" si="1"/>
        <v>0.73283315490263723</v>
      </c>
      <c r="J32" s="217" t="str">
        <f t="shared" si="0"/>
        <v>A</v>
      </c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109" customFormat="1" x14ac:dyDescent="0.3">
      <c r="A33" s="218" t="str">
        <f>ORÇAMENTO!A111</f>
        <v>3.3</v>
      </c>
      <c r="B33" s="137" t="str">
        <f>ORÇAMENTO!C111</f>
        <v>COMPOSIÇÃO 67</v>
      </c>
      <c r="C33" s="117" t="str">
        <f>ORÇAMENTO!D111</f>
        <v>FUSÃO E CERTIFICAÇÃO DE FIBRA ÓPTICA</v>
      </c>
      <c r="D33" s="217" t="str">
        <f>ORÇAMENTO!E111</f>
        <v>UN</v>
      </c>
      <c r="E33" s="217">
        <f>ORÇAMENTO!F111</f>
        <v>156</v>
      </c>
      <c r="F33" s="96">
        <f>ORÇAMENTO!H111</f>
        <v>60.43</v>
      </c>
      <c r="G33" s="96">
        <f>ORÇAMENTO!I111</f>
        <v>9427.08</v>
      </c>
      <c r="H33" s="138">
        <f>G33/RESUMO!$J$24</f>
        <v>1.4054229424708934E-2</v>
      </c>
      <c r="I33" s="139">
        <f t="shared" si="1"/>
        <v>0.74688738432734614</v>
      </c>
      <c r="J33" s="217" t="str">
        <f t="shared" si="0"/>
        <v>A</v>
      </c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109" customFormat="1" ht="27.6" x14ac:dyDescent="0.3">
      <c r="A34" s="218" t="str">
        <f>ORÇAMENTO!A28</f>
        <v>2.1.3</v>
      </c>
      <c r="B34" s="137" t="str">
        <f>ORÇAMENTO!C28</f>
        <v>COMPOSIÇÃO 5</v>
      </c>
      <c r="C34" s="117" t="str">
        <f>ORÇAMENTO!D28</f>
        <v>RACK DE PISO 19" - PORTA ACRÍLICO - 44U X 670MM - FORNECIMENTO E INSTALAÇÃO</v>
      </c>
      <c r="D34" s="217" t="str">
        <f>ORÇAMENTO!E28</f>
        <v>UN</v>
      </c>
      <c r="E34" s="217">
        <f>ORÇAMENTO!F28</f>
        <v>2</v>
      </c>
      <c r="F34" s="96">
        <f>ORÇAMENTO!H28</f>
        <v>4631.34</v>
      </c>
      <c r="G34" s="96">
        <f>ORÇAMENTO!I28</f>
        <v>9262.68</v>
      </c>
      <c r="H34" s="138">
        <f>G34/RESUMO!$J$24</f>
        <v>1.3809136000507365E-2</v>
      </c>
      <c r="I34" s="139">
        <f t="shared" si="1"/>
        <v>0.76069652032785351</v>
      </c>
      <c r="J34" s="217" t="str">
        <f t="shared" si="0"/>
        <v>A</v>
      </c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109" customFormat="1" x14ac:dyDescent="0.3">
      <c r="A35" s="218" t="str">
        <f>ORÇAMENTO!A29</f>
        <v>2.1.4</v>
      </c>
      <c r="B35" s="137" t="str">
        <f>ORÇAMENTO!C29</f>
        <v>COMPOSIÇÃO 6</v>
      </c>
      <c r="C35" s="117" t="str">
        <f>ORÇAMENTO!D29</f>
        <v>RACK DE PISO 19" - ABERTO - 44U X 450MM - FORNECIMENTO E INSTALAÇÃO</v>
      </c>
      <c r="D35" s="217" t="str">
        <f>ORÇAMENTO!E29</f>
        <v>UN</v>
      </c>
      <c r="E35" s="137">
        <f>ORÇAMENTO!F29</f>
        <v>2</v>
      </c>
      <c r="F35" s="96">
        <f>ORÇAMENTO!H29</f>
        <v>4573.7700000000004</v>
      </c>
      <c r="G35" s="96">
        <f>ORÇAMENTO!I29</f>
        <v>9147.5400000000009</v>
      </c>
      <c r="H35" s="138">
        <f>G35/RESUMO!$J$24</f>
        <v>1.3637481153411447E-2</v>
      </c>
      <c r="I35" s="139">
        <f t="shared" si="1"/>
        <v>0.77433400148126497</v>
      </c>
      <c r="J35" s="217" t="str">
        <f t="shared" si="0"/>
        <v>A</v>
      </c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109" customFormat="1" ht="27.6" x14ac:dyDescent="0.3">
      <c r="A36" s="218" t="str">
        <f>ORÇAMENTO!A80</f>
        <v>2.3.36</v>
      </c>
      <c r="B36" s="137" t="str">
        <f>ORÇAMENTO!C80</f>
        <v>COMPOSIÇÃO 37</v>
      </c>
      <c r="C36" s="117" t="str">
        <f>ORÇAMENTO!D80</f>
        <v>ELETROCALHA METÁLICA PERFURADA TIPO U 200X100MM  - FORNECIMENTO E INSTALAÇÃO</v>
      </c>
      <c r="D36" s="217" t="str">
        <f>ORÇAMENTO!E80</f>
        <v>M</v>
      </c>
      <c r="E36" s="217">
        <f>ORÇAMENTO!F80</f>
        <v>73.400000000000006</v>
      </c>
      <c r="F36" s="96">
        <f>ORÇAMENTO!H80</f>
        <v>116.28</v>
      </c>
      <c r="G36" s="96">
        <f>ORÇAMENTO!I80</f>
        <v>8534.9500000000007</v>
      </c>
      <c r="H36" s="138">
        <f>G36/RESUMO!$J$24</f>
        <v>1.2724209981077867E-2</v>
      </c>
      <c r="I36" s="139">
        <f t="shared" si="1"/>
        <v>0.78705821146234278</v>
      </c>
      <c r="J36" s="217" t="str">
        <f t="shared" si="0"/>
        <v>A</v>
      </c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s="109" customFormat="1" ht="27.6" x14ac:dyDescent="0.3">
      <c r="A37" s="218" t="str">
        <f>ORÇAMENTO!A26</f>
        <v>2.1.1</v>
      </c>
      <c r="B37" s="137" t="str">
        <f>ORÇAMENTO!C26</f>
        <v>COMPOSIÇÃO 3</v>
      </c>
      <c r="C37" s="117" t="str">
        <f>ORÇAMENTO!D26</f>
        <v>RACK DE PAREDE 19" 16U X 570MM FECHADO, PORTA ACRÍLICO - FORNECIMENTO E INSTALAÇÃO</v>
      </c>
      <c r="D37" s="217" t="str">
        <f>ORÇAMENTO!E26</f>
        <v>UN</v>
      </c>
      <c r="E37" s="217">
        <f>ORÇAMENTO!F26</f>
        <v>5</v>
      </c>
      <c r="F37" s="96">
        <f>ORÇAMENTO!H26</f>
        <v>1633.63</v>
      </c>
      <c r="G37" s="96">
        <f>ORÇAMENTO!I26</f>
        <v>8168.15</v>
      </c>
      <c r="H37" s="138">
        <f>G37/RESUMO!$J$24</f>
        <v>1.2177371367956597E-2</v>
      </c>
      <c r="I37" s="139">
        <f t="shared" si="1"/>
        <v>0.79923558283029938</v>
      </c>
      <c r="J37" s="217" t="str">
        <f t="shared" si="0"/>
        <v>A</v>
      </c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s="109" customFormat="1" ht="27.6" x14ac:dyDescent="0.3">
      <c r="A38" s="218" t="str">
        <f>ORÇAMENTO!A104</f>
        <v>2.3.60</v>
      </c>
      <c r="B38" s="137" t="str">
        <f>ORÇAMENTO!C104</f>
        <v>COMPOSIÇÃO 63</v>
      </c>
      <c r="C38" s="117" t="str">
        <f>ORÇAMENTO!D104</f>
        <v>PLACA COM 1 MÓDULO - RJ45 - PARA PORTA EQUIPAMENTO DA CANALETA DE ALUMÍNIO - FORNECIMENTO E INSTALAÇÃO</v>
      </c>
      <c r="D38" s="217" t="str">
        <f>ORÇAMENTO!E104</f>
        <v>UN</v>
      </c>
      <c r="E38" s="217">
        <f>ORÇAMENTO!F104</f>
        <v>171</v>
      </c>
      <c r="F38" s="96">
        <f>ORÇAMENTO!H104</f>
        <v>47.56</v>
      </c>
      <c r="G38" s="96">
        <f>ORÇAMENTO!I104</f>
        <v>8132.76</v>
      </c>
      <c r="H38" s="138">
        <f>G38/RESUMO!$J$24</f>
        <v>1.212461068497306E-2</v>
      </c>
      <c r="I38" s="139">
        <f t="shared" si="1"/>
        <v>0.81136019351527244</v>
      </c>
      <c r="J38" s="217" t="str">
        <f t="shared" si="0"/>
        <v>B</v>
      </c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s="109" customFormat="1" ht="27.6" x14ac:dyDescent="0.3">
      <c r="A39" s="218" t="str">
        <f>ORÇAMENTO!A105</f>
        <v>2.3.61</v>
      </c>
      <c r="B39" s="137" t="str">
        <f>ORÇAMENTO!C105</f>
        <v>COMPOSIÇÃO 64</v>
      </c>
      <c r="C39" s="117" t="str">
        <f>ORÇAMENTO!D105</f>
        <v>PLACA COM 2 MÓDULOS - RJ45 - PARA PORTA EQUIPAMENTO DA CANALETA DE ALUMÍNIO - FORNECIMENTO E INSTALAÇÃO</v>
      </c>
      <c r="D39" s="217" t="str">
        <f>ORÇAMENTO!E105</f>
        <v>UN</v>
      </c>
      <c r="E39" s="217">
        <f>ORÇAMENTO!F105</f>
        <v>103</v>
      </c>
      <c r="F39" s="96">
        <f>ORÇAMENTO!H105</f>
        <v>78.58</v>
      </c>
      <c r="G39" s="96">
        <f>ORÇAMENTO!I105</f>
        <v>8093.74</v>
      </c>
      <c r="H39" s="138">
        <f>G39/RESUMO!$J$24</f>
        <v>1.2066438267623028E-2</v>
      </c>
      <c r="I39" s="139">
        <f t="shared" si="1"/>
        <v>0.82342663178289544</v>
      </c>
      <c r="J39" s="217" t="str">
        <f t="shared" si="0"/>
        <v>B</v>
      </c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s="109" customFormat="1" ht="27.6" x14ac:dyDescent="0.3">
      <c r="A40" s="218" t="str">
        <f>ORÇAMENTO!A78</f>
        <v>2.3.34</v>
      </c>
      <c r="B40" s="137" t="str">
        <f>ORÇAMENTO!C78</f>
        <v>COMPOSIÇÃO 36</v>
      </c>
      <c r="C40" s="117" t="str">
        <f>ORÇAMENTO!D78</f>
        <v>ELETROCALHA METÁLICA PERFURADA TIPO U 200X50MM - FORNECIMENTO E INSTALAÇÃO</v>
      </c>
      <c r="D40" s="217" t="str">
        <f>ORÇAMENTO!E78</f>
        <v>M</v>
      </c>
      <c r="E40" s="217">
        <f>ORÇAMENTO!F78</f>
        <v>88.9</v>
      </c>
      <c r="F40" s="96">
        <f>ORÇAMENTO!H78</f>
        <v>88.39</v>
      </c>
      <c r="G40" s="96">
        <f>ORÇAMENTO!I78</f>
        <v>7857.87</v>
      </c>
      <c r="H40" s="138">
        <f>G40/RESUMO!$J$24</f>
        <v>1.1714794800673972E-2</v>
      </c>
      <c r="I40" s="139">
        <f t="shared" si="1"/>
        <v>0.83514142658356938</v>
      </c>
      <c r="J40" s="217" t="str">
        <f t="shared" si="0"/>
        <v>B</v>
      </c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s="109" customFormat="1" ht="27.6" x14ac:dyDescent="0.3">
      <c r="A41" s="218" t="str">
        <f>ORÇAMENTO!A67</f>
        <v>2.3.23</v>
      </c>
      <c r="B41" s="137" t="str">
        <f>ORÇAMENTO!C67</f>
        <v>COMPOSIÇÃO 26</v>
      </c>
      <c r="C41" s="117" t="str">
        <f>ORÇAMENTO!D67</f>
        <v>PERFILADO GALVANIZADO À FOGO 38X38X6000MM - FORNECIMENTO E INSTALAÇÃO</v>
      </c>
      <c r="D41" s="217" t="str">
        <f>ORÇAMENTO!E67</f>
        <v>BR</v>
      </c>
      <c r="E41" s="217">
        <f>ORÇAMENTO!F67</f>
        <v>57</v>
      </c>
      <c r="F41" s="96">
        <f>ORÇAMENTO!H67</f>
        <v>113.06</v>
      </c>
      <c r="G41" s="96">
        <f>ORÇAMENTO!I67</f>
        <v>6444.42</v>
      </c>
      <c r="H41" s="138">
        <f>G41/RESUMO!$J$24</f>
        <v>9.6075727785467774E-3</v>
      </c>
      <c r="I41" s="139">
        <f t="shared" si="1"/>
        <v>0.84474899936211612</v>
      </c>
      <c r="J41" s="217" t="str">
        <f t="shared" si="0"/>
        <v>B</v>
      </c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s="109" customFormat="1" x14ac:dyDescent="0.3">
      <c r="A42" s="218" t="str">
        <f>ORÇAMENTO!A99</f>
        <v>2.3.55</v>
      </c>
      <c r="B42" s="137" t="str">
        <f>ORÇAMENTO!C99</f>
        <v>COMPOSIÇÃO 58</v>
      </c>
      <c r="C42" s="117" t="str">
        <f>ORÇAMENTO!D99</f>
        <v>CONECTOR MACHO RJ - 45, CATEGORIA 6 - FORNECIMENTO E INSTALAÇÃO</v>
      </c>
      <c r="D42" s="217" t="str">
        <f>ORÇAMENTO!E99</f>
        <v>UN</v>
      </c>
      <c r="E42" s="217">
        <f>ORÇAMENTO!F99</f>
        <v>515</v>
      </c>
      <c r="F42" s="96">
        <f>ORÇAMENTO!H99</f>
        <v>12.35</v>
      </c>
      <c r="G42" s="96">
        <f>ORÇAMENTO!I99</f>
        <v>6360.25</v>
      </c>
      <c r="H42" s="138">
        <f>G42/RESUMO!$J$24</f>
        <v>9.4820891196961306E-3</v>
      </c>
      <c r="I42" s="139">
        <f t="shared" si="1"/>
        <v>0.85423108848181228</v>
      </c>
      <c r="J42" s="217" t="str">
        <f t="shared" si="0"/>
        <v>B</v>
      </c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s="109" customFormat="1" ht="27.6" x14ac:dyDescent="0.3">
      <c r="A43" s="218" t="str">
        <f>ORÇAMENTO!A102</f>
        <v>2.3.58</v>
      </c>
      <c r="B43" s="137" t="str">
        <f>ORÇAMENTO!C102</f>
        <v>COMPOSIÇÃO 61</v>
      </c>
      <c r="C43" s="117" t="str">
        <f>ORÇAMENTO!D102</f>
        <v>TOMADA DE REDE COM 1 MÓDULO - RJ45 - PARA CAIXA DE EMBUTIR 4X2" - FORNECIMENTO E INSTALAÇÃO</v>
      </c>
      <c r="D43" s="217" t="str">
        <f>ORÇAMENTO!E102</f>
        <v>UN</v>
      </c>
      <c r="E43" s="217">
        <f>ORÇAMENTO!F102</f>
        <v>118</v>
      </c>
      <c r="F43" s="96">
        <f>ORÇAMENTO!H102</f>
        <v>50.95</v>
      </c>
      <c r="G43" s="96">
        <f>ORÇAMENTO!I102</f>
        <v>6012.1</v>
      </c>
      <c r="H43" s="138">
        <f>G43/RESUMO!$J$24</f>
        <v>8.9630545963641541E-3</v>
      </c>
      <c r="I43" s="139">
        <f t="shared" si="1"/>
        <v>0.86319414307817643</v>
      </c>
      <c r="J43" s="217" t="str">
        <f t="shared" si="0"/>
        <v>B</v>
      </c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s="109" customFormat="1" x14ac:dyDescent="0.3">
      <c r="A44" s="218" t="str">
        <f>ORÇAMENTO!A37</f>
        <v>2.1.12</v>
      </c>
      <c r="B44" s="137" t="str">
        <f>ORÇAMENTO!C37</f>
        <v>COMPOSIÇÃO 13</v>
      </c>
      <c r="C44" s="117" t="str">
        <f>ORÇAMENTO!D37</f>
        <v>MÓDULO GBIC SFP - BI-DIRECIONAL - FORNECIMENTO E INSTALAÇÃO</v>
      </c>
      <c r="D44" s="217" t="str">
        <f>ORÇAMENTO!E37</f>
        <v>UN</v>
      </c>
      <c r="E44" s="217">
        <f>ORÇAMENTO!F37</f>
        <v>18</v>
      </c>
      <c r="F44" s="96">
        <f>ORÇAMENTO!H37</f>
        <v>326.24</v>
      </c>
      <c r="G44" s="96">
        <f>ORÇAMENTO!I37</f>
        <v>5872.32</v>
      </c>
      <c r="H44" s="138">
        <f>G44/RESUMO!$J$24</f>
        <v>8.7546655523562718E-3</v>
      </c>
      <c r="I44" s="139">
        <f t="shared" si="1"/>
        <v>0.8719488086305327</v>
      </c>
      <c r="J44" s="217" t="str">
        <f t="shared" si="0"/>
        <v>B</v>
      </c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s="109" customFormat="1" ht="27.6" x14ac:dyDescent="0.3">
      <c r="A45" s="218" t="str">
        <f>ORÇAMENTO!A35</f>
        <v>2.1.10</v>
      </c>
      <c r="B45" s="137" t="str">
        <f>ORÇAMENTO!C35</f>
        <v>COMPOSIÇÃO 11</v>
      </c>
      <c r="C45" s="117" t="str">
        <f>ORÇAMENTO!D35</f>
        <v>DIO 19" 6FO MÍNIMO - MONOMODO -  COM CONECTOR SC - FORNECIMENTO E INSTALAÇÃO</v>
      </c>
      <c r="D45" s="217" t="str">
        <f>ORÇAMENTO!E35</f>
        <v>UN</v>
      </c>
      <c r="E45" s="217">
        <f>ORÇAMENTO!F35</f>
        <v>7</v>
      </c>
      <c r="F45" s="96">
        <f>ORÇAMENTO!H35</f>
        <v>807.17</v>
      </c>
      <c r="G45" s="96">
        <f>ORÇAMENTO!I35</f>
        <v>5650.19</v>
      </c>
      <c r="H45" s="138">
        <f>G45/RESUMO!$J$24</f>
        <v>8.4235061708605608E-3</v>
      </c>
      <c r="I45" s="139">
        <f t="shared" si="1"/>
        <v>0.88037231480139322</v>
      </c>
      <c r="J45" s="217" t="str">
        <f t="shared" si="0"/>
        <v>B</v>
      </c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s="109" customFormat="1" x14ac:dyDescent="0.3">
      <c r="A46" s="218" t="str">
        <f>ORÇAMENTO!A69</f>
        <v>2.3.25</v>
      </c>
      <c r="B46" s="137" t="str">
        <f>ORÇAMENTO!C69</f>
        <v>COMPOSIÇÃO 28</v>
      </c>
      <c r="C46" s="117" t="str">
        <f>ORÇAMENTO!D69</f>
        <v>GANCHO CURTO PARA PERFILADO 44X32MM - FORNECIMENTO E INSTALAÇÃO</v>
      </c>
      <c r="D46" s="217" t="str">
        <f>ORÇAMENTO!E69</f>
        <v>UN</v>
      </c>
      <c r="E46" s="217">
        <f>ORÇAMENTO!F69</f>
        <v>372</v>
      </c>
      <c r="F46" s="96">
        <f>ORÇAMENTO!H69</f>
        <v>14.54</v>
      </c>
      <c r="G46" s="96">
        <f>ORÇAMENTO!I69</f>
        <v>5408.88</v>
      </c>
      <c r="H46" s="138">
        <f>G46/RESUMO!$J$24</f>
        <v>8.0637525565413325E-3</v>
      </c>
      <c r="I46" s="139">
        <f t="shared" si="1"/>
        <v>0.88843606735793457</v>
      </c>
      <c r="J46" s="217" t="str">
        <f t="shared" si="0"/>
        <v>B</v>
      </c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s="109" customFormat="1" ht="27.6" x14ac:dyDescent="0.3">
      <c r="A47" s="218" t="str">
        <f>ORÇAMENTO!A98</f>
        <v>2.3.54</v>
      </c>
      <c r="B47" s="137" t="str">
        <f>ORÇAMENTO!C98</f>
        <v>COMPOSIÇÃO 57</v>
      </c>
      <c r="C47" s="117" t="str">
        <f>ORÇAMENTO!D98</f>
        <v>CAIXA DE DERIVAÇÃO PARA CANALETA 73X25MM - FORNECIMENTO E INSTALAÇÃO</v>
      </c>
      <c r="D47" s="217" t="str">
        <f>ORÇAMENTO!E98</f>
        <v>UN</v>
      </c>
      <c r="E47" s="217">
        <f>ORÇAMENTO!F98</f>
        <v>42</v>
      </c>
      <c r="F47" s="96">
        <f>ORÇAMENTO!H98</f>
        <v>113.99</v>
      </c>
      <c r="G47" s="96">
        <f>ORÇAMENTO!I98</f>
        <v>4787.58</v>
      </c>
      <c r="H47" s="138">
        <f>G47/RESUMO!$J$24</f>
        <v>7.1374962033999923E-3</v>
      </c>
      <c r="I47" s="139">
        <f t="shared" si="1"/>
        <v>0.89557356356133455</v>
      </c>
      <c r="J47" s="217" t="str">
        <f t="shared" si="0"/>
        <v>B</v>
      </c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s="109" customFormat="1" ht="41.4" x14ac:dyDescent="0.3">
      <c r="A48" s="218" t="str">
        <f>ORÇAMENTO!A59</f>
        <v>2.3.15</v>
      </c>
      <c r="B48" s="137" t="str">
        <f>ORÇAMENTO!C59</f>
        <v>91834</v>
      </c>
      <c r="C48" s="117" t="str">
        <f>ORÇAMENTO!D59</f>
        <v>ELETRODUTO FLEXÍVEL CORRUGADO, PVC, DN 25 MM (3/4"), PARA CIRCUITOS TERMINAIS, INSTALADO EM FORRO - FORNECIMENTO E INSTALAÇÃO. AF_12/2015</v>
      </c>
      <c r="D48" s="217" t="str">
        <f>ORÇAMENTO!E59</f>
        <v>M</v>
      </c>
      <c r="E48" s="217">
        <f>ORÇAMENTO!F59</f>
        <v>480.6</v>
      </c>
      <c r="F48" s="96">
        <f>ORÇAMENTO!H59</f>
        <v>9.61</v>
      </c>
      <c r="G48" s="96">
        <f>ORÇAMENTO!I59</f>
        <v>4618.5600000000004</v>
      </c>
      <c r="H48" s="138">
        <f>G48/RESUMO!$J$24</f>
        <v>6.8855151172774291E-3</v>
      </c>
      <c r="I48" s="139">
        <f t="shared" si="1"/>
        <v>0.90245907867861197</v>
      </c>
      <c r="J48" s="217" t="str">
        <f t="shared" si="0"/>
        <v>B</v>
      </c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s="109" customFormat="1" ht="27.6" x14ac:dyDescent="0.3">
      <c r="A49" s="218" t="str">
        <f>ORÇAMENTO!A45</f>
        <v>2.3.1</v>
      </c>
      <c r="B49" s="137" t="str">
        <f>ORÇAMENTO!C45</f>
        <v>93358</v>
      </c>
      <c r="C49" s="117" t="str">
        <f>ORÇAMENTO!D45</f>
        <v>ESCAVAÇÃO MANUAL DE VALA COM PROFUNDIDADE MENOR OU IGUAL A 1,30 M. AF_02/2021</v>
      </c>
      <c r="D49" s="217" t="str">
        <f>ORÇAMENTO!E45</f>
        <v>M³</v>
      </c>
      <c r="E49" s="217">
        <f>ORÇAMENTO!F45</f>
        <v>53.06</v>
      </c>
      <c r="F49" s="96">
        <f>ORÇAMENTO!H45</f>
        <v>76.97</v>
      </c>
      <c r="G49" s="96">
        <f>ORÇAMENTO!I45</f>
        <v>4084.02</v>
      </c>
      <c r="H49" s="138">
        <f>G49/RESUMO!$J$24</f>
        <v>6.0886036880030492E-3</v>
      </c>
      <c r="I49" s="139">
        <f t="shared" si="1"/>
        <v>0.90854768236661498</v>
      </c>
      <c r="J49" s="217" t="str">
        <f t="shared" si="0"/>
        <v>B</v>
      </c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s="109" customFormat="1" ht="41.4" x14ac:dyDescent="0.3">
      <c r="A50" s="218" t="str">
        <f>ORÇAMENTO!A62</f>
        <v>2.3.18</v>
      </c>
      <c r="B50" s="137" t="str">
        <f>ORÇAMENTO!C62</f>
        <v>95749</v>
      </c>
      <c r="C50" s="117" t="str">
        <f>ORÇAMENTO!D62</f>
        <v>ELETRODUTO DE AÇO GALVANIZADO, CLASSE LEVE, DN 20 MM (3/4), APARENTE , INSTALADO EM PAREDE - FORNECIMENTO E INSTALAÇÃO. AF_11/2016_P</v>
      </c>
      <c r="D50" s="217" t="str">
        <f>ORÇAMENTO!E62</f>
        <v>M</v>
      </c>
      <c r="E50" s="225">
        <f>ORÇAMENTO!F62</f>
        <v>114</v>
      </c>
      <c r="F50" s="96">
        <f>ORÇAMENTO!H62</f>
        <v>30.61</v>
      </c>
      <c r="G50" s="96">
        <f>ORÇAMENTO!I62</f>
        <v>3489.54</v>
      </c>
      <c r="H50" s="138">
        <f>G50/RESUMO!$J$24</f>
        <v>5.2023315540653961E-3</v>
      </c>
      <c r="I50" s="139">
        <f t="shared" si="1"/>
        <v>0.91375001392068034</v>
      </c>
      <c r="J50" s="217" t="str">
        <f t="shared" si="0"/>
        <v>B</v>
      </c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s="109" customFormat="1" ht="27.6" x14ac:dyDescent="0.3">
      <c r="A51" s="218" t="str">
        <f>ORÇAMENTO!A76</f>
        <v>2.3.32</v>
      </c>
      <c r="B51" s="137" t="str">
        <f>ORÇAMENTO!C76</f>
        <v>COMPOSIÇÃO 35</v>
      </c>
      <c r="C51" s="117" t="str">
        <f>ORÇAMENTO!D76</f>
        <v>ELETROCALHA METÁLICA PERFURADA TIPO U 100X50MM - FORNECIMENTO E INSTALAÇÃO</v>
      </c>
      <c r="D51" s="217" t="str">
        <f>ORÇAMENTO!E76</f>
        <v>M</v>
      </c>
      <c r="E51" s="217">
        <f>ORÇAMENTO!F76</f>
        <v>41.9</v>
      </c>
      <c r="F51" s="96">
        <f>ORÇAMENTO!H76</f>
        <v>72.930000000000007</v>
      </c>
      <c r="G51" s="96">
        <f>ORÇAMENTO!I76</f>
        <v>3055.76</v>
      </c>
      <c r="H51" s="138">
        <f>G51/RESUMO!$J$24</f>
        <v>4.5556367514488659E-3</v>
      </c>
      <c r="I51" s="139">
        <f t="shared" si="1"/>
        <v>0.91830565067212921</v>
      </c>
      <c r="J51" s="217" t="str">
        <f t="shared" si="0"/>
        <v>B</v>
      </c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109" customFormat="1" ht="27.6" x14ac:dyDescent="0.3">
      <c r="A52" s="218" t="str">
        <f>ORÇAMENTO!A27</f>
        <v>2.1.2</v>
      </c>
      <c r="B52" s="137" t="str">
        <f>ORÇAMENTO!C27</f>
        <v>COMPOSIÇÃO 4</v>
      </c>
      <c r="C52" s="117" t="str">
        <f>ORÇAMENTO!D27</f>
        <v>RACK DE PISO 19" - PORTA ACRÍLICO - 22U X 670MM - FORNECIMENTO E INSTALAÇÃO</v>
      </c>
      <c r="D52" s="217" t="str">
        <f>ORÇAMENTO!E27</f>
        <v>UN</v>
      </c>
      <c r="E52" s="217">
        <f>ORÇAMENTO!F27</f>
        <v>1</v>
      </c>
      <c r="F52" s="96">
        <f>ORÇAMENTO!H27</f>
        <v>2990.43</v>
      </c>
      <c r="G52" s="96">
        <f>ORÇAMENTO!I27</f>
        <v>2990.43</v>
      </c>
      <c r="H52" s="138">
        <f>G52/RESUMO!$J$24</f>
        <v>4.4582404412111002E-3</v>
      </c>
      <c r="I52" s="139">
        <f t="shared" si="1"/>
        <v>0.92276389111334034</v>
      </c>
      <c r="J52" s="217" t="str">
        <f t="shared" ref="J52:J83" si="3">IF(I52&lt;=0.8,"A",(IF(I52&lt;=0.95,"B","C")))</f>
        <v>B</v>
      </c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s="109" customFormat="1" ht="27.6" x14ac:dyDescent="0.3">
      <c r="A53" s="218" t="str">
        <f>ORÇAMENTO!A79</f>
        <v>2.3.35</v>
      </c>
      <c r="B53" s="137" t="str">
        <f>ORÇAMENTO!C79</f>
        <v>COMPOSIÇÃO 39</v>
      </c>
      <c r="C53" s="117" t="str">
        <f>ORÇAMENTO!D79</f>
        <v>FIXAÇÃO DE ELETROCALHA 200X50, EM LAJE, COM BARRA ROSCADA - FORNECIMENTO E INSTALAÇÃO</v>
      </c>
      <c r="D53" s="217" t="str">
        <f>ORÇAMENTO!E79</f>
        <v>M</v>
      </c>
      <c r="E53" s="217">
        <f>ORÇAMENTO!F79</f>
        <v>88.9</v>
      </c>
      <c r="F53" s="96">
        <f>ORÇAMENTO!H79</f>
        <v>31.67</v>
      </c>
      <c r="G53" s="96">
        <f>ORÇAMENTO!I79</f>
        <v>2815.46</v>
      </c>
      <c r="H53" s="138">
        <f>G53/RESUMO!$J$24</f>
        <v>4.1973888814024083E-3</v>
      </c>
      <c r="I53" s="139">
        <f t="shared" si="1"/>
        <v>0.92696127999474276</v>
      </c>
      <c r="J53" s="217" t="str">
        <f t="shared" si="3"/>
        <v>B</v>
      </c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s="109" customFormat="1" ht="27.6" x14ac:dyDescent="0.3">
      <c r="A54" s="218" t="str">
        <f>ORÇAMENTO!A81</f>
        <v>2.3.37</v>
      </c>
      <c r="B54" s="137" t="str">
        <f>ORÇAMENTO!C81</f>
        <v>COMPOSIÇÃO 40</v>
      </c>
      <c r="C54" s="117" t="str">
        <f>ORÇAMENTO!D81</f>
        <v>FIXAÇÃO DE ELETROCALHA 200X100, EM LAJE, COM BARRA ROSCADA - FORNECIMENTO E INSTALAÇÃO</v>
      </c>
      <c r="D54" s="217" t="str">
        <f>ORÇAMENTO!E81</f>
        <v>M</v>
      </c>
      <c r="E54" s="217">
        <f>ORÇAMENTO!F81</f>
        <v>73.400000000000006</v>
      </c>
      <c r="F54" s="96">
        <f>ORÇAMENTO!H81</f>
        <v>34.71</v>
      </c>
      <c r="G54" s="96">
        <f>ORÇAMENTO!I81</f>
        <v>2547.71</v>
      </c>
      <c r="H54" s="138">
        <f>G54/RESUMO!$J$24</f>
        <v>3.7982175655266745E-3</v>
      </c>
      <c r="I54" s="139">
        <f t="shared" ref="I54:I85" si="4">I53+H54</f>
        <v>0.93075949756026943</v>
      </c>
      <c r="J54" s="217" t="str">
        <f t="shared" si="3"/>
        <v>B</v>
      </c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s="109" customFormat="1" x14ac:dyDescent="0.3">
      <c r="A55" s="218" t="str">
        <f>ORÇAMENTO!A55</f>
        <v>2.3.11</v>
      </c>
      <c r="B55" s="137" t="str">
        <f>ORÇAMENTO!C55</f>
        <v>COMPOSIÇÃO 20</v>
      </c>
      <c r="C55" s="117" t="str">
        <f>ORÇAMENTO!D55</f>
        <v>FIBRA ÓPTICA - 6FO - MONOMODO - FORNECIMENTO E INSTALAÇÃO</v>
      </c>
      <c r="D55" s="217" t="str">
        <f>ORÇAMENTO!E55</f>
        <v>M</v>
      </c>
      <c r="E55" s="217">
        <f>ORÇAMENTO!F55</f>
        <v>413.9</v>
      </c>
      <c r="F55" s="96">
        <f>ORÇAMENTO!H55</f>
        <v>6.08</v>
      </c>
      <c r="G55" s="96">
        <f>ORÇAMENTO!I55</f>
        <v>2516.5100000000002</v>
      </c>
      <c r="H55" s="138">
        <f>G55/RESUMO!$J$24</f>
        <v>3.751703485021267E-3</v>
      </c>
      <c r="I55" s="139">
        <f t="shared" si="4"/>
        <v>0.93451120104529073</v>
      </c>
      <c r="J55" s="217" t="str">
        <f t="shared" si="3"/>
        <v>B</v>
      </c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s="109" customFormat="1" x14ac:dyDescent="0.3">
      <c r="A56" s="218" t="str">
        <f>ORÇAMENTO!A46</f>
        <v>2.3.2</v>
      </c>
      <c r="B56" s="137" t="str">
        <f>ORÇAMENTO!C46</f>
        <v>96995</v>
      </c>
      <c r="C56" s="117" t="str">
        <f>ORÇAMENTO!D46</f>
        <v>REATERRO MANUAL APILOADO COM SOQUETE. AF_10/2017</v>
      </c>
      <c r="D56" s="217" t="str">
        <f>ORÇAMENTO!E46</f>
        <v>M³</v>
      </c>
      <c r="E56" s="217">
        <f>ORÇAMENTO!F46</f>
        <v>53.06</v>
      </c>
      <c r="F56" s="96">
        <f>ORÇAMENTO!H46</f>
        <v>46.66</v>
      </c>
      <c r="G56" s="96">
        <f>ORÇAMENTO!I46</f>
        <v>2475.77</v>
      </c>
      <c r="H56" s="138">
        <f>G56/RESUMO!$J$24</f>
        <v>3.6909668298997821E-3</v>
      </c>
      <c r="I56" s="139">
        <f t="shared" si="4"/>
        <v>0.93820216787519051</v>
      </c>
      <c r="J56" s="217" t="str">
        <f t="shared" si="3"/>
        <v>B</v>
      </c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s="109" customFormat="1" ht="27.6" x14ac:dyDescent="0.3">
      <c r="A57" s="218" t="str">
        <f>ORÇAMENTO!A97</f>
        <v>2.3.53</v>
      </c>
      <c r="B57" s="137" t="str">
        <f>ORÇAMENTO!C97</f>
        <v>COMPOSIÇÃO 56</v>
      </c>
      <c r="C57" s="117" t="str">
        <f>ORÇAMENTO!D97</f>
        <v>ADAPTADOR CANALETA DE ALUMÍNIO 73X25MM PARA ELETRODUTO - FORNECIMENTO E INSTALAÇÃO</v>
      </c>
      <c r="D57" s="217" t="str">
        <f>ORÇAMENTO!E97</f>
        <v>UN</v>
      </c>
      <c r="E57" s="217">
        <f>ORÇAMENTO!F97</f>
        <v>27</v>
      </c>
      <c r="F57" s="96">
        <f>ORÇAMENTO!H97</f>
        <v>84.18</v>
      </c>
      <c r="G57" s="96">
        <f>ORÇAMENTO!I97</f>
        <v>2272.86</v>
      </c>
      <c r="H57" s="138">
        <f>G57/RESUMO!$J$24</f>
        <v>3.3884613146641326E-3</v>
      </c>
      <c r="I57" s="139">
        <f t="shared" si="4"/>
        <v>0.94159062918985459</v>
      </c>
      <c r="J57" s="217" t="str">
        <f t="shared" si="3"/>
        <v>B</v>
      </c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s="109" customFormat="1" x14ac:dyDescent="0.3">
      <c r="A58" s="218" t="str">
        <f>ORÇAMENTO!A70</f>
        <v>2.3.26</v>
      </c>
      <c r="B58" s="137" t="str">
        <f>ORÇAMENTO!C70</f>
        <v>COMPOSIÇÃO 29</v>
      </c>
      <c r="C58" s="117" t="str">
        <f>ORÇAMENTO!D70</f>
        <v>TALA PLANA PERFURADA 38MM - FORNECIMENTO E INSTALAÇÃO</v>
      </c>
      <c r="D58" s="217" t="str">
        <f>ORÇAMENTO!E70</f>
        <v>UN</v>
      </c>
      <c r="E58" s="217">
        <f>ORÇAMENTO!F70</f>
        <v>234</v>
      </c>
      <c r="F58" s="96">
        <f>ORÇAMENTO!H70</f>
        <v>9.15</v>
      </c>
      <c r="G58" s="96">
        <f>ORÇAMENTO!I70</f>
        <v>2141.1</v>
      </c>
      <c r="H58" s="138">
        <f>G58/RESUMO!$J$24</f>
        <v>3.1920287746836028E-3</v>
      </c>
      <c r="I58" s="139">
        <f t="shared" si="4"/>
        <v>0.9447826579645382</v>
      </c>
      <c r="J58" s="217" t="str">
        <f t="shared" si="3"/>
        <v>B</v>
      </c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s="109" customFormat="1" ht="27.6" x14ac:dyDescent="0.3">
      <c r="A59" s="218" t="str">
        <f>ORÇAMENTO!A48</f>
        <v>2.3.4</v>
      </c>
      <c r="B59" s="137" t="str">
        <f>ORÇAMENTO!C48</f>
        <v>90443</v>
      </c>
      <c r="C59" s="117" t="str">
        <f>ORÇAMENTO!D48</f>
        <v>RASGO EM ALVENARIA PARA RAMAIS/ DISTRIBUIÇÃO COM DIAMETROS MENORES OU IGUAIS A 40 MM. AF_05/2015</v>
      </c>
      <c r="D59" s="217" t="str">
        <f>ORÇAMENTO!E48</f>
        <v>M</v>
      </c>
      <c r="E59" s="217">
        <f>ORÇAMENTO!F48</f>
        <v>173.9</v>
      </c>
      <c r="F59" s="96">
        <f>ORÇAMENTO!H48</f>
        <v>12.07</v>
      </c>
      <c r="G59" s="96">
        <f>ORÇAMENTO!I48</f>
        <v>2098.9699999999998</v>
      </c>
      <c r="H59" s="138">
        <f>G59/RESUMO!$J$24</f>
        <v>3.129219857642166E-3</v>
      </c>
      <c r="I59" s="139">
        <f t="shared" si="4"/>
        <v>0.94791187782218034</v>
      </c>
      <c r="J59" s="217" t="str">
        <f t="shared" si="3"/>
        <v>B</v>
      </c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s="109" customFormat="1" ht="27.6" x14ac:dyDescent="0.3">
      <c r="A60" s="218" t="str">
        <f>ORÇAMENTO!A95</f>
        <v>2.3.51</v>
      </c>
      <c r="B60" s="137" t="str">
        <f>ORÇAMENTO!C95</f>
        <v>COMPOSIÇÃO 54</v>
      </c>
      <c r="C60" s="117" t="str">
        <f>ORÇAMENTO!D95</f>
        <v>CURVA HORIZONTAL 90° PARA CANALETA DE ALUMÍNIO 73X25MM - FORNECIMENTO E INSTALAÇÃO</v>
      </c>
      <c r="D60" s="217" t="str">
        <f>ORÇAMENTO!E95</f>
        <v>UN</v>
      </c>
      <c r="E60" s="217">
        <f>ORÇAMENTO!F95</f>
        <v>23</v>
      </c>
      <c r="F60" s="96">
        <f>ORÇAMENTO!H95</f>
        <v>89.98</v>
      </c>
      <c r="G60" s="96">
        <f>ORÇAMENTO!I95</f>
        <v>2069.54</v>
      </c>
      <c r="H60" s="138">
        <f>G60/RESUMO!$J$24</f>
        <v>3.0853445567038925E-3</v>
      </c>
      <c r="I60" s="139">
        <f t="shared" si="4"/>
        <v>0.95099722237888418</v>
      </c>
      <c r="J60" s="217" t="str">
        <f t="shared" si="3"/>
        <v>C</v>
      </c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s="109" customFormat="1" ht="27.6" x14ac:dyDescent="0.3">
      <c r="A61" s="218" t="str">
        <f>ORÇAMENTO!A103</f>
        <v>2.3.59</v>
      </c>
      <c r="B61" s="137" t="str">
        <f>ORÇAMENTO!C103</f>
        <v>COMPOSIÇÃO 62</v>
      </c>
      <c r="C61" s="117" t="str">
        <f>ORÇAMENTO!D103</f>
        <v>TOMADA DE REDE COM 1 MÓDULO - RJ45 - PARA CONDULETE DE ALUMÍNIO 3/4" - FORNECIMENTO E INSTALAÇÃO</v>
      </c>
      <c r="D61" s="217" t="str">
        <f>ORÇAMENTO!E103</f>
        <v>UN</v>
      </c>
      <c r="E61" s="225">
        <f>ORÇAMENTO!F103</f>
        <v>20</v>
      </c>
      <c r="F61" s="96">
        <f>ORÇAMENTO!H103</f>
        <v>92.85</v>
      </c>
      <c r="G61" s="96">
        <f>ORÇAMENTO!I103</f>
        <v>1857</v>
      </c>
      <c r="H61" s="138">
        <f>G61/RESUMO!$J$24</f>
        <v>2.7684822916199388E-3</v>
      </c>
      <c r="I61" s="139">
        <f t="shared" si="4"/>
        <v>0.95376570467050414</v>
      </c>
      <c r="J61" s="217" t="str">
        <f t="shared" si="3"/>
        <v>C</v>
      </c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s="109" customFormat="1" x14ac:dyDescent="0.3">
      <c r="A62" s="218" t="str">
        <f>ORÇAMENTO!A56</f>
        <v>2.3.12</v>
      </c>
      <c r="B62" s="137" t="str">
        <f>ORÇAMENTO!C56</f>
        <v>COMPOSIÇÃO 21</v>
      </c>
      <c r="C62" s="117" t="str">
        <f>ORÇAMENTO!D56</f>
        <v>FIBRA ÓPTICA - 48FO - MONOMODO - FORNECIMENTO E INSTALAÇÃO</v>
      </c>
      <c r="D62" s="217" t="str">
        <f>ORÇAMENTO!E56</f>
        <v>M</v>
      </c>
      <c r="E62" s="217">
        <f>ORÇAMENTO!F56</f>
        <v>79.599999999999994</v>
      </c>
      <c r="F62" s="96">
        <f>ORÇAMENTO!H56</f>
        <v>23.06</v>
      </c>
      <c r="G62" s="96">
        <f>ORÇAMENTO!I56</f>
        <v>1835.57</v>
      </c>
      <c r="H62" s="138">
        <f>G62/RESUMO!$J$24</f>
        <v>2.7365336779907436E-3</v>
      </c>
      <c r="I62" s="139">
        <f t="shared" si="4"/>
        <v>0.9565022383484949</v>
      </c>
      <c r="J62" s="217" t="str">
        <f t="shared" si="3"/>
        <v>C</v>
      </c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s="109" customFormat="1" ht="27.6" x14ac:dyDescent="0.3">
      <c r="A63" s="218" t="str">
        <f>ORÇAMENTO!A31</f>
        <v>2.1.6</v>
      </c>
      <c r="B63" s="137" t="str">
        <f>ORÇAMENTO!C31</f>
        <v>COMPOSIÇÃO 8</v>
      </c>
      <c r="C63" s="117" t="str">
        <f>ORÇAMENTO!D31</f>
        <v>GUIA DE CABOS FECHADO HORIZONTAL 19"X1U PRETO - FORNECIMENTO E INSTALAÇÃO</v>
      </c>
      <c r="D63" s="217" t="str">
        <f>ORÇAMENTO!E31</f>
        <v>UN</v>
      </c>
      <c r="E63" s="217">
        <f>ORÇAMENTO!F31</f>
        <v>39</v>
      </c>
      <c r="F63" s="96">
        <f>ORÇAMENTO!H31</f>
        <v>45.25</v>
      </c>
      <c r="G63" s="96">
        <f>ORÇAMENTO!I31</f>
        <v>1764.75</v>
      </c>
      <c r="H63" s="138">
        <f>G63/RESUMO!$J$24</f>
        <v>2.6309526785871229E-3</v>
      </c>
      <c r="I63" s="139">
        <f t="shared" si="4"/>
        <v>0.95913319102708205</v>
      </c>
      <c r="J63" s="217" t="str">
        <f t="shared" si="3"/>
        <v>C</v>
      </c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s="109" customFormat="1" ht="27.6" x14ac:dyDescent="0.3">
      <c r="A64" s="218" t="str">
        <f>ORÇAMENTO!A96</f>
        <v>2.3.52</v>
      </c>
      <c r="B64" s="137" t="str">
        <f>ORÇAMENTO!C96</f>
        <v>COMPOSIÇÃO 55</v>
      </c>
      <c r="C64" s="117" t="str">
        <f>ORÇAMENTO!D96</f>
        <v>CURVA VERTICAL INTERNA  90° PARA CANALETA DE ALUMÍNIO 73X25MM - FORNECIMENTO E INSTALAÇÃO</v>
      </c>
      <c r="D64" s="217" t="str">
        <f>ORÇAMENTO!E96</f>
        <v>UN</v>
      </c>
      <c r="E64" s="217">
        <f>ORÇAMENTO!F96</f>
        <v>25</v>
      </c>
      <c r="F64" s="96">
        <f>ORÇAMENTO!H96</f>
        <v>66.94</v>
      </c>
      <c r="G64" s="96">
        <f>ORÇAMENTO!I96</f>
        <v>1673.5</v>
      </c>
      <c r="H64" s="138">
        <f>G64/RESUMO!$J$24</f>
        <v>2.4949139014679416E-3</v>
      </c>
      <c r="I64" s="139">
        <f t="shared" si="4"/>
        <v>0.96162810492855</v>
      </c>
      <c r="J64" s="217" t="str">
        <f t="shared" si="3"/>
        <v>C</v>
      </c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s="109" customFormat="1" ht="41.4" x14ac:dyDescent="0.3">
      <c r="A65" s="218" t="str">
        <f>ORÇAMENTO!A66</f>
        <v>2.3.22</v>
      </c>
      <c r="B65" s="227" t="str">
        <f>ORÇAMENTO!C66</f>
        <v>97887</v>
      </c>
      <c r="C65" s="227" t="str">
        <f>ORÇAMENTO!D66</f>
        <v>CAIXA ENTERRADA ELÉTRICA RETANGULAR, EM ALVENARIA COM TIJOLOS CERÂMICOS MACIÇOS, FUNDO COM BRITA, DIMENSÕES INTERNAS: 0,4X0,4X0,4 M. AF_12/2020</v>
      </c>
      <c r="D65" s="217" t="str">
        <f>ORÇAMENTO!E66</f>
        <v>UN</v>
      </c>
      <c r="E65" s="225">
        <f>ORÇAMENTO!F66</f>
        <v>5</v>
      </c>
      <c r="F65" s="96">
        <f>ORÇAMENTO!H66</f>
        <v>311.12</v>
      </c>
      <c r="G65" s="96">
        <f>ORÇAMENTO!I66</f>
        <v>1555.6</v>
      </c>
      <c r="H65" s="138">
        <f>G65/RESUMO!$J$24</f>
        <v>2.3191443472503912E-3</v>
      </c>
      <c r="I65" s="139">
        <f t="shared" si="4"/>
        <v>0.96394724927580044</v>
      </c>
      <c r="J65" s="217" t="str">
        <f t="shared" si="3"/>
        <v>C</v>
      </c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s="109" customFormat="1" x14ac:dyDescent="0.3">
      <c r="A66" s="218" t="str">
        <f>ORÇAMENTO!A82</f>
        <v>2.3.38</v>
      </c>
      <c r="B66" s="137" t="str">
        <f>ORÇAMENTO!C82</f>
        <v>COMPOSIÇÃO 41</v>
      </c>
      <c r="C66" s="117" t="str">
        <f>ORÇAMENTO!D82</f>
        <v>TALA PLANA PERFURADA 50MM - FORNECIMENTO E INSTALAÇÃO</v>
      </c>
      <c r="D66" s="217" t="str">
        <f>ORÇAMENTO!E82</f>
        <v>UN</v>
      </c>
      <c r="E66" s="217">
        <f>ORÇAMENTO!F82</f>
        <v>170</v>
      </c>
      <c r="F66" s="96">
        <f>ORÇAMENTO!H82</f>
        <v>9.15</v>
      </c>
      <c r="G66" s="96">
        <f>ORÇAMENTO!I82</f>
        <v>1555.5</v>
      </c>
      <c r="H66" s="138">
        <f>G66/RESUMO!$J$24</f>
        <v>2.3189952636590277E-3</v>
      </c>
      <c r="I66" s="139">
        <f t="shared" si="4"/>
        <v>0.96626624453945942</v>
      </c>
      <c r="J66" s="217" t="str">
        <f t="shared" si="3"/>
        <v>C</v>
      </c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s="109" customFormat="1" ht="27.6" x14ac:dyDescent="0.3">
      <c r="A67" s="218" t="str">
        <f>ORÇAMENTO!A36</f>
        <v>2.1.11</v>
      </c>
      <c r="B67" s="137" t="str">
        <f>ORÇAMENTO!C36</f>
        <v>COMPOSIÇÃO 12</v>
      </c>
      <c r="C67" s="117" t="str">
        <f>ORÇAMENTO!D36</f>
        <v>DIO 19" 48FO MÍNIMO - MONOMODO-  COM CONECTOR SC - FORNECIMENTO E INSTALAÇÃO</v>
      </c>
      <c r="D67" s="217" t="str">
        <f>ORÇAMENTO!E36</f>
        <v>UN</v>
      </c>
      <c r="E67" s="217">
        <f>ORÇAMENTO!F36</f>
        <v>1</v>
      </c>
      <c r="F67" s="96">
        <f>ORÇAMENTO!H36</f>
        <v>1519.94</v>
      </c>
      <c r="G67" s="96">
        <f>ORÇAMENTO!I36</f>
        <v>1519.94</v>
      </c>
      <c r="H67" s="138">
        <f>G67/RESUMO!$J$24</f>
        <v>2.2659811385701721E-3</v>
      </c>
      <c r="I67" s="139">
        <f t="shared" si="4"/>
        <v>0.96853222567802955</v>
      </c>
      <c r="J67" s="217" t="str">
        <f t="shared" si="3"/>
        <v>C</v>
      </c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s="109" customFormat="1" ht="27.6" x14ac:dyDescent="0.3">
      <c r="A68" s="218" t="str">
        <f>ORÇAMENTO!A109</f>
        <v>3.1</v>
      </c>
      <c r="B68" s="137">
        <f>ORÇAMENTO!C109</f>
        <v>99802</v>
      </c>
      <c r="C68" s="117" t="str">
        <f>ORÇAMENTO!D109</f>
        <v>LIMPEZA DE PISO CERÂMICO OU PORCELANATO COM VASSOURA A SECO. AF_04/2019</v>
      </c>
      <c r="D68" s="217" t="str">
        <f>ORÇAMENTO!E109</f>
        <v>M2</v>
      </c>
      <c r="E68" s="217">
        <f>ORÇAMENTO!F109</f>
        <v>3097.51</v>
      </c>
      <c r="F68" s="96">
        <f>ORÇAMENTO!H109</f>
        <v>0.47</v>
      </c>
      <c r="G68" s="96">
        <f>ORÇAMENTO!I109</f>
        <v>1455.82</v>
      </c>
      <c r="H68" s="138">
        <f>G68/RESUMO!$J$24</f>
        <v>2.1703887397879046E-3</v>
      </c>
      <c r="I68" s="139">
        <f t="shared" si="4"/>
        <v>0.97070261441781747</v>
      </c>
      <c r="J68" s="217" t="str">
        <f t="shared" si="3"/>
        <v>C</v>
      </c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s="109" customFormat="1" x14ac:dyDescent="0.3">
      <c r="A69" s="218" t="str">
        <f>ORÇAMENTO!A57</f>
        <v>2.3.13</v>
      </c>
      <c r="B69" s="137" t="str">
        <f>ORÇAMENTO!C57</f>
        <v>COMPOSIÇÃO 22</v>
      </c>
      <c r="C69" s="117" t="str">
        <f>ORÇAMENTO!D57</f>
        <v>PIGTAIL - CONECTOR SC - 1,5M - FORNECIMENTO E INSTALAÇÃO</v>
      </c>
      <c r="D69" s="217" t="str">
        <f>ORÇAMENTO!E57</f>
        <v>UN</v>
      </c>
      <c r="E69" s="217">
        <f>ORÇAMENTO!F57</f>
        <v>50</v>
      </c>
      <c r="F69" s="96">
        <f>ORÇAMENTO!H57</f>
        <v>26.69</v>
      </c>
      <c r="G69" s="96">
        <f>ORÇAMENTO!I57</f>
        <v>1334.5</v>
      </c>
      <c r="H69" s="138">
        <f>G69/RESUMO!$J$24</f>
        <v>1.9895205267457233E-3</v>
      </c>
      <c r="I69" s="139">
        <f t="shared" si="4"/>
        <v>0.97269213494456319</v>
      </c>
      <c r="J69" s="217" t="str">
        <f t="shared" si="3"/>
        <v>C</v>
      </c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s="109" customFormat="1" ht="27.6" x14ac:dyDescent="0.3">
      <c r="A70" s="218" t="str">
        <f>ORÇAMENTO!A33</f>
        <v>2.1.8</v>
      </c>
      <c r="B70" s="137" t="str">
        <f>ORÇAMENTO!C33</f>
        <v>COMPOSIÇÃO 10</v>
      </c>
      <c r="C70" s="117" t="str">
        <f>ORÇAMENTO!D33</f>
        <v>PLACA DE FECHAMENTO CEGA - 1U - GABINETE PADRÃO 19" - FORNECIMENTO E INSTALAÇÃO</v>
      </c>
      <c r="D70" s="217" t="str">
        <f>ORÇAMENTO!E33</f>
        <v>UN</v>
      </c>
      <c r="E70" s="217">
        <f>ORÇAMENTO!F33</f>
        <v>65</v>
      </c>
      <c r="F70" s="96">
        <f>ORÇAMENTO!H33</f>
        <v>19.77</v>
      </c>
      <c r="G70" s="96">
        <f>ORÇAMENTO!I33</f>
        <v>1285.05</v>
      </c>
      <c r="H70" s="138">
        <f>G70/RESUMO!$J$24</f>
        <v>1.9157986908164793E-3</v>
      </c>
      <c r="I70" s="139">
        <f t="shared" si="4"/>
        <v>0.97460793363537968</v>
      </c>
      <c r="J70" s="217" t="str">
        <f t="shared" si="3"/>
        <v>C</v>
      </c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s="109" customFormat="1" x14ac:dyDescent="0.3">
      <c r="A71" s="218" t="str">
        <f>ORÇAMENTO!A75</f>
        <v>2.3.31</v>
      </c>
      <c r="B71" s="137" t="str">
        <f>ORÇAMENTO!C75</f>
        <v>COMPOSIÇÃO 34</v>
      </c>
      <c r="C71" s="117" t="str">
        <f>ORÇAMENTO!D75</f>
        <v>SAÍDA PERFILADO PARA ELETRODUTO 3/4" - FORNECIMENTO E INSTALAÇÃO</v>
      </c>
      <c r="D71" s="217" t="str">
        <f>ORÇAMENTO!E75</f>
        <v>UN</v>
      </c>
      <c r="E71" s="217">
        <f>ORÇAMENTO!F75</f>
        <v>86</v>
      </c>
      <c r="F71" s="96">
        <f>ORÇAMENTO!H75</f>
        <v>14.77</v>
      </c>
      <c r="G71" s="96">
        <f>ORÇAMENTO!I75</f>
        <v>1270.22</v>
      </c>
      <c r="H71" s="138">
        <f>G71/RESUMO!$J$24</f>
        <v>1.8936895942172744E-3</v>
      </c>
      <c r="I71" s="139">
        <f t="shared" si="4"/>
        <v>0.97650162322959699</v>
      </c>
      <c r="J71" s="217" t="str">
        <f t="shared" si="3"/>
        <v>C</v>
      </c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s="109" customFormat="1" ht="27.6" x14ac:dyDescent="0.3">
      <c r="A72" s="218" t="str">
        <f>ORÇAMENTO!A77</f>
        <v>2.3.33</v>
      </c>
      <c r="B72" s="137" t="str">
        <f>ORÇAMENTO!C77</f>
        <v>COMPOSIÇÃO 38</v>
      </c>
      <c r="C72" s="117" t="str">
        <f>ORÇAMENTO!D77</f>
        <v>FIXAÇÃO DE ELETROCALHA 100X50, EM LAJE, COM BARRA ROSCADA - FORNECIMENTO E INSTALAÇÃO</v>
      </c>
      <c r="D72" s="217" t="str">
        <f>ORÇAMENTO!E77</f>
        <v>M</v>
      </c>
      <c r="E72" s="217">
        <f>ORÇAMENTO!F77</f>
        <v>41.9</v>
      </c>
      <c r="F72" s="96">
        <f>ORÇAMENTO!H77</f>
        <v>26.86</v>
      </c>
      <c r="G72" s="96">
        <f>ORÇAMENTO!I77</f>
        <v>1125.43</v>
      </c>
      <c r="H72" s="138">
        <f>G72/RESUMO!$J$24</f>
        <v>1.6778314622820829E-3</v>
      </c>
      <c r="I72" s="139">
        <f t="shared" si="4"/>
        <v>0.97817945469187906</v>
      </c>
      <c r="J72" s="217" t="str">
        <f t="shared" si="3"/>
        <v>C</v>
      </c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s="109" customFormat="1" ht="27.6" x14ac:dyDescent="0.3">
      <c r="A73" s="218" t="str">
        <f>ORÇAMENTO!A63</f>
        <v>2.3.19</v>
      </c>
      <c r="B73" s="137" t="str">
        <f>ORÇAMENTO!C63</f>
        <v>95750</v>
      </c>
      <c r="C73" s="117" t="str">
        <f>ORÇAMENTO!D63</f>
        <v>ELETRODUTO DE AÇO GALVANIZADO, CLASSE LEVE, DN 25 MM (1), APARENTE, INSTALADO EM PAREDE - FORNECIMENTO E INSTALAÇÃO. AF_11/2016_P</v>
      </c>
      <c r="D73" s="217" t="str">
        <f>ORÇAMENTO!E63</f>
        <v>M</v>
      </c>
      <c r="E73" s="225">
        <f>ORÇAMENTO!F63</f>
        <v>30</v>
      </c>
      <c r="F73" s="96">
        <f>ORÇAMENTO!H63</f>
        <v>36.380000000000003</v>
      </c>
      <c r="G73" s="96">
        <f>ORÇAMENTO!I63</f>
        <v>1091.4000000000001</v>
      </c>
      <c r="H73" s="138">
        <f>G73/RESUMO!$J$24</f>
        <v>1.6270983161410886E-3</v>
      </c>
      <c r="I73" s="139">
        <f t="shared" si="4"/>
        <v>0.97980655300802011</v>
      </c>
      <c r="J73" s="217" t="str">
        <f t="shared" si="3"/>
        <v>C</v>
      </c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s="109" customFormat="1" x14ac:dyDescent="0.3">
      <c r="A74" s="218" t="str">
        <f>ORÇAMENTO!A100</f>
        <v>2.3.56</v>
      </c>
      <c r="B74" s="137" t="str">
        <f>ORÇAMENTO!C100</f>
        <v>COMPOSIÇÃO 59</v>
      </c>
      <c r="C74" s="117" t="str">
        <f>ORÇAMENTO!D100</f>
        <v>PLACA CEGA - PARA CAIXA DE EMBUTIR 4X2" - FORNECIMENTO E INSTALAÇÃO</v>
      </c>
      <c r="D74" s="217" t="str">
        <f>ORÇAMENTO!E100</f>
        <v>UN</v>
      </c>
      <c r="E74" s="217">
        <f>ORÇAMENTO!F100</f>
        <v>17</v>
      </c>
      <c r="F74" s="96">
        <f>ORÇAMENTO!H100</f>
        <v>60.23</v>
      </c>
      <c r="G74" s="96">
        <f>ORÇAMENTO!I100</f>
        <v>1023.91</v>
      </c>
      <c r="H74" s="138">
        <f>G74/RESUMO!$J$24</f>
        <v>1.5264818003298715E-3</v>
      </c>
      <c r="I74" s="139">
        <f t="shared" si="4"/>
        <v>0.98133303480834999</v>
      </c>
      <c r="J74" s="217" t="str">
        <f t="shared" si="3"/>
        <v>C</v>
      </c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s="109" customFormat="1" ht="27.6" x14ac:dyDescent="0.3">
      <c r="A75" s="218" t="str">
        <f>ORÇAMENTO!A41</f>
        <v>2.2.3</v>
      </c>
      <c r="B75" s="137" t="str">
        <f>ORÇAMENTO!C41</f>
        <v>COMPOSIÇÃO 16</v>
      </c>
      <c r="C75" s="117" t="str">
        <f>ORÇAMENTO!D41</f>
        <v>MONITOR LED 18,5", HD, WIDESCREEN - COM ENTRADA HDMI - FORNECIMENTO E INSTALAÇÃO</v>
      </c>
      <c r="D75" s="217" t="str">
        <f>ORÇAMENTO!E41</f>
        <v>UN</v>
      </c>
      <c r="E75" s="217">
        <f>ORÇAMENTO!F41</f>
        <v>1</v>
      </c>
      <c r="F75" s="96">
        <f>ORÇAMENTO!H41</f>
        <v>947.6</v>
      </c>
      <c r="G75" s="96">
        <f>ORÇAMENTO!I41</f>
        <v>947.6</v>
      </c>
      <c r="H75" s="138">
        <f>G75/RESUMO!$J$24</f>
        <v>1.4127161117603953E-3</v>
      </c>
      <c r="I75" s="139">
        <f t="shared" si="4"/>
        <v>0.98274575092011041</v>
      </c>
      <c r="J75" s="217" t="str">
        <f t="shared" si="3"/>
        <v>C</v>
      </c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s="109" customFormat="1" x14ac:dyDescent="0.3">
      <c r="A76" s="218" t="str">
        <f>ORÇAMENTO!A20</f>
        <v>1.1</v>
      </c>
      <c r="B76" s="137" t="str">
        <f>ORÇAMENTO!C20</f>
        <v>COMPOSIÇÃO 1</v>
      </c>
      <c r="C76" s="117" t="str">
        <f>ORÇAMENTO!D20</f>
        <v>PLACA DE OBRA EM CHAPA DE ACO GALVANIZADO (1,50 X 1,50 M)</v>
      </c>
      <c r="D76" s="217" t="str">
        <f>ORÇAMENTO!E20</f>
        <v>M²</v>
      </c>
      <c r="E76" s="217">
        <f>ORÇAMENTO!F20</f>
        <v>2.25</v>
      </c>
      <c r="F76" s="96">
        <f>ORÇAMENTO!H20</f>
        <v>411.63</v>
      </c>
      <c r="G76" s="96">
        <f>ORÇAMENTO!I20</f>
        <v>926.16</v>
      </c>
      <c r="H76" s="138">
        <f>G76/RESUMO!$J$24</f>
        <v>1.3807525897720637E-3</v>
      </c>
      <c r="I76" s="139">
        <f t="shared" si="4"/>
        <v>0.98412650350988251</v>
      </c>
      <c r="J76" s="217" t="str">
        <f t="shared" si="3"/>
        <v>C</v>
      </c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s="109" customFormat="1" ht="27.6" x14ac:dyDescent="0.3">
      <c r="A77" s="218" t="str">
        <f>ORÇAMENTO!A30</f>
        <v>2.1.5</v>
      </c>
      <c r="B77" s="137" t="str">
        <f>ORÇAMENTO!C30</f>
        <v>COMPOSIÇÃO 7</v>
      </c>
      <c r="C77" s="117" t="str">
        <f>ORÇAMENTO!D30</f>
        <v>RÉGUA DE TOMADAS COM 10 TOMADAS PADRÃO BRASILEIRO PRETA - FORNECIMENTO E INSTALAÇÃO</v>
      </c>
      <c r="D77" s="217" t="str">
        <f>ORÇAMENTO!E30</f>
        <v>UN</v>
      </c>
      <c r="E77" s="217">
        <f>ORÇAMENTO!F30</f>
        <v>8</v>
      </c>
      <c r="F77" s="96">
        <f>ORÇAMENTO!H30</f>
        <v>109.51</v>
      </c>
      <c r="G77" s="96">
        <f>ORÇAMENTO!I30</f>
        <v>876.08</v>
      </c>
      <c r="H77" s="138">
        <f>G77/RESUMO!$J$24</f>
        <v>1.3060915272172301E-3</v>
      </c>
      <c r="I77" s="139">
        <f t="shared" si="4"/>
        <v>0.98543259503709979</v>
      </c>
      <c r="J77" s="217" t="str">
        <f t="shared" si="3"/>
        <v>C</v>
      </c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s="109" customFormat="1" ht="27.6" x14ac:dyDescent="0.3">
      <c r="A78" s="218" t="str">
        <f>ORÇAMENTO!A47</f>
        <v>2.3.3</v>
      </c>
      <c r="B78" s="137" t="str">
        <f>ORÇAMENTO!C47</f>
        <v>90444</v>
      </c>
      <c r="C78" s="117" t="str">
        <f>ORÇAMENTO!D47</f>
        <v>RASGO EM CONTRAPISO PARA RAMAIS/ DISTRIBUIÇÃO COM DIÂMETROS MENORES OU IGUAIS A 40 MM. AF_05/2015</v>
      </c>
      <c r="D78" s="217" t="str">
        <f>ORÇAMENTO!E47</f>
        <v>M</v>
      </c>
      <c r="E78" s="217">
        <f>ORÇAMENTO!F47</f>
        <v>37.9</v>
      </c>
      <c r="F78" s="96">
        <f>ORÇAMENTO!H47</f>
        <v>22.88</v>
      </c>
      <c r="G78" s="96">
        <f>ORÇAMENTO!I47</f>
        <v>867.15</v>
      </c>
      <c r="H78" s="138">
        <f>G78/RESUMO!$J$24</f>
        <v>1.2927783625084706E-3</v>
      </c>
      <c r="I78" s="139">
        <f t="shared" si="4"/>
        <v>0.98672537339960831</v>
      </c>
      <c r="J78" s="217" t="str">
        <f t="shared" si="3"/>
        <v>C</v>
      </c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s="109" customFormat="1" ht="27.6" x14ac:dyDescent="0.3">
      <c r="A79" s="218" t="str">
        <f>ORÇAMENTO!A89</f>
        <v>2.3.45</v>
      </c>
      <c r="B79" s="137" t="str">
        <f>ORÇAMENTO!C89</f>
        <v>COMPOSIÇÃO 48</v>
      </c>
      <c r="C79" s="117" t="str">
        <f>ORÇAMENTO!D89</f>
        <v>CURVA 90° HORIZONTAL ELETROCALHA 200X50MM - FORNECIMENTO E INSTALAÇÃO</v>
      </c>
      <c r="D79" s="217" t="str">
        <f>ORÇAMENTO!E89</f>
        <v xml:space="preserve">UN </v>
      </c>
      <c r="E79" s="217">
        <f>ORÇAMENTO!F89</f>
        <v>9</v>
      </c>
      <c r="F79" s="96">
        <f>ORÇAMENTO!H89</f>
        <v>85.01</v>
      </c>
      <c r="G79" s="96">
        <f>ORÇAMENTO!I89</f>
        <v>765.09</v>
      </c>
      <c r="H79" s="138">
        <f>G79/RESUMO!$J$24</f>
        <v>1.1406236491628965E-3</v>
      </c>
      <c r="I79" s="139">
        <f t="shared" si="4"/>
        <v>0.9878659970487712</v>
      </c>
      <c r="J79" s="217" t="str">
        <f t="shared" si="3"/>
        <v>C</v>
      </c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s="109" customFormat="1" ht="41.4" x14ac:dyDescent="0.3">
      <c r="A80" s="218" t="str">
        <f>ORÇAMENTO!A60</f>
        <v>2.3.16</v>
      </c>
      <c r="B80" s="137" t="str">
        <f>ORÇAMENTO!C60</f>
        <v>91836</v>
      </c>
      <c r="C80" s="117" t="str">
        <f>ORÇAMENTO!D60</f>
        <v>ELETRODUTO FLEXÍVEL CORRUGADO, PVC, DN 32 MM (1"), PARA CIRCUITOS TERMINAIS, INSTALADO EM FORRO - FORNECIMENTO E INSTALAÇÃO. AF_12/2015</v>
      </c>
      <c r="D80" s="217" t="str">
        <f>ORÇAMENTO!E60</f>
        <v>M</v>
      </c>
      <c r="E80" s="222">
        <f>ORÇAMENTO!F60</f>
        <v>58.7</v>
      </c>
      <c r="F80" s="96">
        <f>ORÇAMENTO!H60</f>
        <v>12.69</v>
      </c>
      <c r="G80" s="96">
        <f>ORÇAMENTO!I60</f>
        <v>744.9</v>
      </c>
      <c r="H80" s="138">
        <f>G80/RESUMO!$J$24</f>
        <v>1.1105236720666087E-3</v>
      </c>
      <c r="I80" s="139">
        <f t="shared" si="4"/>
        <v>0.98897652072083786</v>
      </c>
      <c r="J80" s="217" t="str">
        <f t="shared" si="3"/>
        <v>C</v>
      </c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s="109" customFormat="1" ht="27.6" x14ac:dyDescent="0.3">
      <c r="A81" s="218" t="str">
        <f>ORÇAMENTO!A61</f>
        <v>2.3.17</v>
      </c>
      <c r="B81" s="137" t="str">
        <f>ORÇAMENTO!C61</f>
        <v>97667</v>
      </c>
      <c r="C81" s="117" t="str">
        <f>ORÇAMENTO!D61</f>
        <v>ELETRODUTO FLEXÍVEL CORRUGADO, PEAD, DN 50 (1 ½)  - FORNECIMENTO E INSTALAÇÃO. AF_04/2016</v>
      </c>
      <c r="D81" s="217" t="str">
        <f>ORÇAMENTO!E61</f>
        <v>M</v>
      </c>
      <c r="E81" s="217">
        <f>ORÇAMENTO!F61</f>
        <v>85.8</v>
      </c>
      <c r="F81" s="96">
        <f>ORÇAMENTO!H61</f>
        <v>8.2899999999999991</v>
      </c>
      <c r="G81" s="96">
        <f>ORÇAMENTO!I61</f>
        <v>711.28</v>
      </c>
      <c r="H81" s="138">
        <f>G81/RESUMO!$J$24</f>
        <v>1.0604017686502046E-3</v>
      </c>
      <c r="I81" s="139">
        <f t="shared" si="4"/>
        <v>0.99003692248948805</v>
      </c>
      <c r="J81" s="217" t="str">
        <f t="shared" si="3"/>
        <v>C</v>
      </c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s="109" customFormat="1" ht="27.6" x14ac:dyDescent="0.3">
      <c r="A82" s="218" t="str">
        <f>ORÇAMENTO!A92</f>
        <v>2.3.48</v>
      </c>
      <c r="B82" s="137" t="str">
        <f>ORÇAMENTO!C92</f>
        <v>COMPOSIÇÃO 51</v>
      </c>
      <c r="C82" s="117" t="str">
        <f>ORÇAMENTO!D92</f>
        <v>SAÍDA ELETROCALHA PARA ELETRODUTO  3/4" - FORNECIMENTO E INSTALAÇÃO</v>
      </c>
      <c r="D82" s="217" t="str">
        <f>ORÇAMENTO!E92</f>
        <v xml:space="preserve">UN </v>
      </c>
      <c r="E82" s="217">
        <f>ORÇAMENTO!F92</f>
        <v>39</v>
      </c>
      <c r="F82" s="96">
        <f>ORÇAMENTO!H92</f>
        <v>17.36</v>
      </c>
      <c r="G82" s="96">
        <f>ORÇAMENTO!I92</f>
        <v>677.04</v>
      </c>
      <c r="H82" s="138">
        <f>G82/RESUMO!$J$24</f>
        <v>1.0093555469673468E-3</v>
      </c>
      <c r="I82" s="139">
        <f t="shared" si="4"/>
        <v>0.9910462780364554</v>
      </c>
      <c r="J82" s="217" t="str">
        <f t="shared" si="3"/>
        <v>C</v>
      </c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s="109" customFormat="1" x14ac:dyDescent="0.3">
      <c r="A83" s="218" t="str">
        <f>ORÇAMENTO!A58</f>
        <v>2.3.14</v>
      </c>
      <c r="B83" s="137" t="str">
        <f>ORÇAMENTO!C58</f>
        <v>COMPOSIÇÃO 23</v>
      </c>
      <c r="C83" s="117" t="str">
        <f>ORÇAMENTO!D58</f>
        <v>UNIDUT 3/4" M - FORNECIMENTO E INSTALAÇÃO</v>
      </c>
      <c r="D83" s="226" t="str">
        <f>ORÇAMENTO!E58</f>
        <v>UN</v>
      </c>
      <c r="E83" s="225">
        <f>ORÇAMENTO!F58</f>
        <v>90</v>
      </c>
      <c r="F83" s="96">
        <f>ORÇAMENTO!H58</f>
        <v>6.91</v>
      </c>
      <c r="G83" s="96">
        <f>ORÇAMENTO!I58</f>
        <v>621.9</v>
      </c>
      <c r="H83" s="138">
        <f>G83/RESUMO!$J$24</f>
        <v>9.2715085468952061E-4</v>
      </c>
      <c r="I83" s="139">
        <f t="shared" si="4"/>
        <v>0.99197342889114493</v>
      </c>
      <c r="J83" s="217" t="str">
        <f t="shared" si="3"/>
        <v>C</v>
      </c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s="109" customFormat="1" ht="41.4" x14ac:dyDescent="0.3">
      <c r="A84" s="218" t="str">
        <f>ORÇAMENTO!A64</f>
        <v>2.3.20</v>
      </c>
      <c r="B84" s="137" t="str">
        <f>ORÇAMENTO!C64</f>
        <v>COMPOSIÇÃO 24</v>
      </c>
      <c r="C84" s="117" t="str">
        <f>ORÇAMENTO!D64</f>
        <v>CURVA 90 GRAUS PARA ELETRODUTO, FERRO GALVANIZADO, DN 25 MM (3/4"), PARA CIRCUITOS TERMINAIS, INSTALADA EM PAREDE - FORNECIMENTO E INSTALAÇÃO. AF_12/2015</v>
      </c>
      <c r="D84" s="217" t="str">
        <f>ORÇAMENTO!E64</f>
        <v>UN</v>
      </c>
      <c r="E84" s="225">
        <f>ORÇAMENTO!F64</f>
        <v>20</v>
      </c>
      <c r="F84" s="96">
        <f>ORÇAMENTO!H64</f>
        <v>30.39</v>
      </c>
      <c r="G84" s="96">
        <f>ORÇAMENTO!I64</f>
        <v>607.79999999999995</v>
      </c>
      <c r="H84" s="138">
        <f>G84/RESUMO!$J$24</f>
        <v>9.0613006830726902E-4</v>
      </c>
      <c r="I84" s="139">
        <f t="shared" si="4"/>
        <v>0.99287955895945224</v>
      </c>
      <c r="J84" s="217" t="str">
        <f t="shared" ref="J84:J97" si="5">IF(I84&lt;=0.8,"A",(IF(I84&lt;=0.95,"B","C")))</f>
        <v>C</v>
      </c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s="109" customFormat="1" ht="27.6" x14ac:dyDescent="0.3">
      <c r="A85" s="218" t="str">
        <f>ORÇAMENTO!A93</f>
        <v>2.3.49</v>
      </c>
      <c r="B85" s="137" t="str">
        <f>ORÇAMENTO!C93</f>
        <v>COMPOSIÇÃO 52</v>
      </c>
      <c r="C85" s="117" t="str">
        <f>ORÇAMENTO!D93</f>
        <v>ACOPLAMENTO LATERAL SIMPLES ELETROCALHA P/ PERFILADO 38X38MM - FORNECIMENTO E INSTALAÇÃO</v>
      </c>
      <c r="D85" s="217" t="str">
        <f>ORÇAMENTO!E93</f>
        <v>UN</v>
      </c>
      <c r="E85" s="217">
        <f>ORÇAMENTO!F93</f>
        <v>31</v>
      </c>
      <c r="F85" s="96">
        <f>ORÇAMENTO!H93</f>
        <v>18.13</v>
      </c>
      <c r="G85" s="96">
        <f>ORÇAMENTO!I93</f>
        <v>562.03</v>
      </c>
      <c r="H85" s="138">
        <f>G85/RESUMO!$J$24</f>
        <v>8.3789450854020143E-4</v>
      </c>
      <c r="I85" s="139">
        <f t="shared" si="4"/>
        <v>0.99371745346799245</v>
      </c>
      <c r="J85" s="217" t="str">
        <f t="shared" si="5"/>
        <v>C</v>
      </c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s="109" customFormat="1" ht="41.4" x14ac:dyDescent="0.3">
      <c r="A86" s="218" t="str">
        <f>ORÇAMENTO!A101</f>
        <v>2.3.57</v>
      </c>
      <c r="B86" s="137" t="str">
        <f>ORÇAMENTO!C101</f>
        <v>COMPOSIÇÃO 60</v>
      </c>
      <c r="C86" s="117" t="str">
        <f>ORÇAMENTO!D101</f>
        <v>CONDULETE DE ALUMÍNIO, TIPO X, PARA ELETRODUTO DE AÇO GALVANIZADO DN 20 MM (3/4''), APARENTE, COM TAMPA CEGA - FORNECIMENTO E INSTALAÇÃO. AF_11/2016_P</v>
      </c>
      <c r="D86" s="217" t="str">
        <f>ORÇAMENTO!E101</f>
        <v>UN</v>
      </c>
      <c r="E86" s="225">
        <f>ORÇAMENTO!F101</f>
        <v>10</v>
      </c>
      <c r="F86" s="96">
        <f>ORÇAMENTO!H101</f>
        <v>51.39</v>
      </c>
      <c r="G86" s="96">
        <f>ORÇAMENTO!I101</f>
        <v>513.9</v>
      </c>
      <c r="H86" s="138">
        <f>G86/RESUMO!$J$24</f>
        <v>7.661405760169556E-4</v>
      </c>
      <c r="I86" s="139">
        <f t="shared" ref="I86:I105" si="6">I85+H86</f>
        <v>0.99448359404400943</v>
      </c>
      <c r="J86" s="217" t="str">
        <f t="shared" si="5"/>
        <v>C</v>
      </c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s="109" customFormat="1" x14ac:dyDescent="0.3">
      <c r="A87" s="218" t="str">
        <f>ORÇAMENTO!A74</f>
        <v>2.3.30</v>
      </c>
      <c r="B87" s="137" t="str">
        <f>ORÇAMENTO!C74</f>
        <v>COMPOSIÇÃO 33</v>
      </c>
      <c r="C87" s="117" t="str">
        <f>ORÇAMENTO!D74</f>
        <v>TERMINAL 38X38MM - FORNECIMENTO E INSTALAÇÃO</v>
      </c>
      <c r="D87" s="217" t="str">
        <f>ORÇAMENTO!E74</f>
        <v>UN</v>
      </c>
      <c r="E87" s="217">
        <f>ORÇAMENTO!F74</f>
        <v>29</v>
      </c>
      <c r="F87" s="96">
        <f>ORÇAMENTO!H74</f>
        <v>16.38</v>
      </c>
      <c r="G87" s="96">
        <f>ORÇAMENTO!I74</f>
        <v>475.02</v>
      </c>
      <c r="H87" s="138">
        <f>G87/RESUMO!$J$24</f>
        <v>7.0817687569483211E-4</v>
      </c>
      <c r="I87" s="139">
        <f t="shared" si="6"/>
        <v>0.99519177091970423</v>
      </c>
      <c r="J87" s="217" t="str">
        <f t="shared" si="5"/>
        <v>C</v>
      </c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7.6" x14ac:dyDescent="0.3">
      <c r="A88" s="218" t="str">
        <f>ORÇAMENTO!A32</f>
        <v>2.1.7</v>
      </c>
      <c r="B88" s="137" t="str">
        <f>ORÇAMENTO!C32</f>
        <v>COMPOSIÇÃO 9</v>
      </c>
      <c r="C88" s="117" t="str">
        <f>ORÇAMENTO!D32</f>
        <v>BANDEJA ESTENDIDA - 1U - GABINETE PADRÃO 19" - FORNECIMENTO E INSTALAÇÃO</v>
      </c>
      <c r="D88" s="217" t="str">
        <f>ORÇAMENTO!E32</f>
        <v>UN</v>
      </c>
      <c r="E88" s="217">
        <f>ORÇAMENTO!F32</f>
        <v>4</v>
      </c>
      <c r="F88" s="96">
        <f>ORÇAMENTO!H32</f>
        <v>100.18</v>
      </c>
      <c r="G88" s="96">
        <f>ORÇAMENTO!I32</f>
        <v>400.72</v>
      </c>
      <c r="H88" s="138">
        <f>G88/RESUMO!$J$24</f>
        <v>5.9740776731176197E-4</v>
      </c>
      <c r="I88" s="139">
        <f t="shared" si="6"/>
        <v>0.995789178687016</v>
      </c>
      <c r="J88" s="217" t="str">
        <f t="shared" si="5"/>
        <v>C</v>
      </c>
    </row>
    <row r="89" spans="1:21" ht="27.6" x14ac:dyDescent="0.3">
      <c r="A89" s="218" t="str">
        <f>ORÇAMENTO!A84</f>
        <v>2.3.40</v>
      </c>
      <c r="B89" s="137" t="str">
        <f>ORÇAMENTO!C84</f>
        <v>COMPOSIÇÃO 43</v>
      </c>
      <c r="C89" s="117" t="str">
        <f>ORÇAMENTO!D84</f>
        <v>"T" HORIZONTAL  200X50MM PARA ELETROCALHA  - FORNECIMENTO E INSTALAÇÃO</v>
      </c>
      <c r="D89" s="217" t="str">
        <f>ORÇAMENTO!E84</f>
        <v xml:space="preserve">UN </v>
      </c>
      <c r="E89" s="217">
        <f>ORÇAMENTO!F84</f>
        <v>5</v>
      </c>
      <c r="F89" s="96">
        <f>ORÇAMENTO!H84</f>
        <v>77.41</v>
      </c>
      <c r="G89" s="96">
        <f>ORÇAMENTO!I84</f>
        <v>387.05</v>
      </c>
      <c r="H89" s="138">
        <f>G89/RESUMO!$J$24</f>
        <v>5.7702804037237335E-4</v>
      </c>
      <c r="I89" s="139">
        <f t="shared" si="6"/>
        <v>0.9963662067273884</v>
      </c>
      <c r="J89" s="217" t="str">
        <f t="shared" si="5"/>
        <v>C</v>
      </c>
    </row>
    <row r="90" spans="1:21" x14ac:dyDescent="0.3">
      <c r="A90" s="218" t="str">
        <f>ORÇAMENTO!A83</f>
        <v>2.3.39</v>
      </c>
      <c r="B90" s="137" t="str">
        <f>ORÇAMENTO!C83</f>
        <v>COMPOSIÇÃO 42</v>
      </c>
      <c r="C90" s="117" t="str">
        <f>ORÇAMENTO!D83</f>
        <v>TALA PLANA PERFURADA 10MM - FORNECIMENTO E INSTALAÇÃO</v>
      </c>
      <c r="D90" s="217" t="str">
        <f>ORÇAMENTO!E83</f>
        <v>UN</v>
      </c>
      <c r="E90" s="217">
        <f>ORÇAMENTO!F83</f>
        <v>30</v>
      </c>
      <c r="F90" s="96">
        <f>ORÇAMENTO!H83</f>
        <v>11.83</v>
      </c>
      <c r="G90" s="96">
        <f>ORÇAMENTO!I83</f>
        <v>354.9</v>
      </c>
      <c r="H90" s="138">
        <f>G90/RESUMO!$J$24</f>
        <v>5.2909766574901252E-4</v>
      </c>
      <c r="I90" s="139">
        <f t="shared" si="6"/>
        <v>0.99689530439313745</v>
      </c>
      <c r="J90" s="217" t="str">
        <f t="shared" si="5"/>
        <v>C</v>
      </c>
    </row>
    <row r="91" spans="1:21" ht="27.6" x14ac:dyDescent="0.3">
      <c r="A91" s="218" t="str">
        <f>ORÇAMENTO!A21</f>
        <v>1.2</v>
      </c>
      <c r="B91" s="137" t="str">
        <f>ORÇAMENTO!C21</f>
        <v>-</v>
      </c>
      <c r="C91" s="117" t="str">
        <f>ORÇAMENTO!D21</f>
        <v>ART DE EXECUÇÃO (RESOLUÇÃO 1.066, DE 25/09/2015 (PL 1544/2019)). ENG. ELETRICISTA</v>
      </c>
      <c r="D91" s="217" t="str">
        <f>ORÇAMENTO!E21</f>
        <v>UN</v>
      </c>
      <c r="E91" s="217">
        <f>ORÇAMENTO!F21</f>
        <v>1</v>
      </c>
      <c r="F91" s="96">
        <f>ORÇAMENTO!H21</f>
        <v>300.25</v>
      </c>
      <c r="G91" s="96">
        <f>ORÇAMENTO!I21</f>
        <v>300.25</v>
      </c>
      <c r="H91" s="138">
        <f>G91/RESUMO!$J$24</f>
        <v>4.4762348306886732E-4</v>
      </c>
      <c r="I91" s="139">
        <f t="shared" si="6"/>
        <v>0.99734292787620626</v>
      </c>
      <c r="J91" s="217" t="str">
        <f t="shared" si="5"/>
        <v>C</v>
      </c>
    </row>
    <row r="92" spans="1:21" ht="27.6" x14ac:dyDescent="0.3">
      <c r="A92" s="218" t="str">
        <f>ORÇAMENTO!A85</f>
        <v>2.3.41</v>
      </c>
      <c r="B92" s="137" t="str">
        <f>ORÇAMENTO!C85</f>
        <v>COMPOSIÇÃO 44</v>
      </c>
      <c r="C92" s="117" t="str">
        <f>ORÇAMENTO!D85</f>
        <v>"T" HORIZONTAL  200X100MM PARA ELETROCALHA  - FORNECIMENTO E INSTALAÇÃO</v>
      </c>
      <c r="D92" s="217" t="str">
        <f>ORÇAMENTO!E85</f>
        <v xml:space="preserve">UN </v>
      </c>
      <c r="E92" s="217">
        <f>ORÇAMENTO!F85</f>
        <v>3</v>
      </c>
      <c r="F92" s="96">
        <f>ORÇAMENTO!H85</f>
        <v>88.89</v>
      </c>
      <c r="G92" s="96">
        <f>ORÇAMENTO!I85</f>
        <v>266.67</v>
      </c>
      <c r="H92" s="138">
        <f>G92/RESUMO!$J$24</f>
        <v>3.9756121308900868E-4</v>
      </c>
      <c r="I92" s="139">
        <f t="shared" si="6"/>
        <v>0.99774048908929525</v>
      </c>
      <c r="J92" s="217" t="str">
        <f t="shared" si="5"/>
        <v>C</v>
      </c>
    </row>
    <row r="93" spans="1:21" ht="27.6" x14ac:dyDescent="0.3">
      <c r="A93" s="218" t="str">
        <f>ORÇAMENTO!A88</f>
        <v>2.3.44</v>
      </c>
      <c r="B93" s="137" t="str">
        <f>ORÇAMENTO!C88</f>
        <v>COMPOSIÇÃO 47</v>
      </c>
      <c r="C93" s="117" t="str">
        <f>ORÇAMENTO!D88</f>
        <v>CURVA 90° HORIZONTAL ELETROCALHA 100X50MM - FORNECIMENTO E INSTALAÇÃO</v>
      </c>
      <c r="D93" s="217" t="str">
        <f>ORÇAMENTO!E88</f>
        <v xml:space="preserve">UN </v>
      </c>
      <c r="E93" s="217">
        <f>ORÇAMENTO!F88</f>
        <v>4</v>
      </c>
      <c r="F93" s="96">
        <f>ORÇAMENTO!H88</f>
        <v>55.7</v>
      </c>
      <c r="G93" s="96">
        <f>ORÇAMENTO!I88</f>
        <v>222.8</v>
      </c>
      <c r="H93" s="138">
        <f>G93/RESUMO!$J$24</f>
        <v>3.3215824155784728E-4</v>
      </c>
      <c r="I93" s="139">
        <f t="shared" si="6"/>
        <v>0.9980726473308531</v>
      </c>
      <c r="J93" s="217" t="str">
        <f t="shared" si="5"/>
        <v>C</v>
      </c>
    </row>
    <row r="94" spans="1:21" ht="27.6" x14ac:dyDescent="0.3">
      <c r="A94" s="218" t="str">
        <f>ORÇAMENTO!A50</f>
        <v>2.3.6</v>
      </c>
      <c r="B94" s="137" t="str">
        <f>ORÇAMENTO!C50</f>
        <v xml:space="preserve">90468 </v>
      </c>
      <c r="C94" s="117" t="str">
        <f>ORÇAMENTO!D50</f>
        <v>CHUMBAMENTO LINEAR EM CONTRAPISO PARA RAMAIS/DISTRIBUIÇÃO COM DIÂMETROS MENORES OU IGUAIS A 40 MM. AF_05/2015</v>
      </c>
      <c r="D94" s="217" t="str">
        <f>ORÇAMENTO!E50</f>
        <v>M</v>
      </c>
      <c r="E94" s="217">
        <f>ORÇAMENTO!F50</f>
        <v>37.9</v>
      </c>
      <c r="F94" s="96">
        <f>ORÇAMENTO!H50</f>
        <v>5.71</v>
      </c>
      <c r="G94" s="96">
        <f>ORÇAMENTO!I50</f>
        <v>216.4</v>
      </c>
      <c r="H94" s="138">
        <f>G94/RESUMO!$J$24</f>
        <v>3.2261689171058413E-4</v>
      </c>
      <c r="I94" s="139">
        <f t="shared" si="6"/>
        <v>0.99839526422256364</v>
      </c>
      <c r="J94" s="217" t="str">
        <f t="shared" si="5"/>
        <v>C</v>
      </c>
    </row>
    <row r="95" spans="1:21" ht="27.6" x14ac:dyDescent="0.3">
      <c r="A95" s="218" t="str">
        <f>ORÇAMENTO!A49</f>
        <v>2.3.5</v>
      </c>
      <c r="B95" s="137" t="str">
        <f>ORÇAMENTO!C49</f>
        <v>90445</v>
      </c>
      <c r="C95" s="117" t="str">
        <f>ORÇAMENTO!D49</f>
        <v>RASGO EM CONTRAPISO PARA RAMAIS/ DISTRIBUIÇÃO COM DIÂMETROS MAIORES QUE 40 MM E MENORES OU IGUAIS A 75 MM. AF_05/2015</v>
      </c>
      <c r="D95" s="217" t="str">
        <f>ORÇAMENTO!E49</f>
        <v>M</v>
      </c>
      <c r="E95" s="217">
        <f>ORÇAMENTO!F49</f>
        <v>7.3</v>
      </c>
      <c r="F95" s="96">
        <f>ORÇAMENTO!H49</f>
        <v>24.43</v>
      </c>
      <c r="G95" s="96">
        <f>ORÇAMENTO!I49</f>
        <v>178.33</v>
      </c>
      <c r="H95" s="138">
        <f>G95/RESUMO!$J$24</f>
        <v>2.6586076847850499E-4</v>
      </c>
      <c r="I95" s="139">
        <f t="shared" si="6"/>
        <v>0.99866112499104209</v>
      </c>
      <c r="J95" s="217" t="str">
        <f t="shared" si="5"/>
        <v>C</v>
      </c>
    </row>
    <row r="96" spans="1:21" ht="27.6" x14ac:dyDescent="0.3">
      <c r="A96" s="218" t="str">
        <f>ORÇAMENTO!A91</f>
        <v>2.3.47</v>
      </c>
      <c r="B96" s="137" t="str">
        <f>ORÇAMENTO!C91</f>
        <v>COMPOSIÇÃO 50</v>
      </c>
      <c r="C96" s="117" t="str">
        <f>ORÇAMENTO!D91</f>
        <v>CURVA VERTICAL EXTERNA 90° - 200X100MM - FORNECIMENTO E INSTALAÇÃO</v>
      </c>
      <c r="D96" s="217" t="str">
        <f>ORÇAMENTO!E91</f>
        <v xml:space="preserve">UN </v>
      </c>
      <c r="E96" s="217">
        <f>ORÇAMENTO!F91</f>
        <v>2</v>
      </c>
      <c r="F96" s="96">
        <f>ORÇAMENTO!H91</f>
        <v>89.15</v>
      </c>
      <c r="G96" s="96">
        <f>ORÇAMENTO!I91</f>
        <v>178.3</v>
      </c>
      <c r="H96" s="138">
        <f>G96/RESUMO!$J$24</f>
        <v>2.6581604340109591E-4</v>
      </c>
      <c r="I96" s="139">
        <f t="shared" si="6"/>
        <v>0.99892694103444324</v>
      </c>
      <c r="J96" s="217" t="str">
        <f t="shared" si="5"/>
        <v>C</v>
      </c>
    </row>
    <row r="97" spans="1:10" x14ac:dyDescent="0.3">
      <c r="A97" s="218" t="str">
        <f>ORÇAMENTO!A86</f>
        <v>2.3.42</v>
      </c>
      <c r="B97" s="137" t="str">
        <f>ORÇAMENTO!C86</f>
        <v>COMPOSIÇÃO 45</v>
      </c>
      <c r="C97" s="117" t="str">
        <f>ORÇAMENTO!D86</f>
        <v>"T" VERTICAL SUBIDA 90° - 200X50MM - FORNECIMENTO E INSTALAÇÃO</v>
      </c>
      <c r="D97" s="217" t="str">
        <f>ORÇAMENTO!E86</f>
        <v xml:space="preserve">UN </v>
      </c>
      <c r="E97" s="217">
        <f>ORÇAMENTO!F86</f>
        <v>2</v>
      </c>
      <c r="F97" s="96">
        <f>ORÇAMENTO!H86</f>
        <v>88.89</v>
      </c>
      <c r="G97" s="96">
        <f>ORÇAMENTO!I86</f>
        <v>177.78</v>
      </c>
      <c r="H97" s="138">
        <f>G97/RESUMO!$J$24</f>
        <v>2.6504080872600578E-4</v>
      </c>
      <c r="I97" s="139">
        <f t="shared" si="6"/>
        <v>0.99919198184316926</v>
      </c>
      <c r="J97" s="217" t="str">
        <f t="shared" si="5"/>
        <v>C</v>
      </c>
    </row>
    <row r="98" spans="1:10" x14ac:dyDescent="0.3">
      <c r="A98" s="218" t="str">
        <f>ORÇAMENTO!A52</f>
        <v>2.3.8</v>
      </c>
      <c r="B98" s="137" t="str">
        <f>ORÇAMENTO!C52</f>
        <v xml:space="preserve">90438 </v>
      </c>
      <c r="C98" s="117" t="str">
        <f>ORÇAMENTO!D52</f>
        <v>FURO EM ALVENARIA PARA DIÂMETROS MAIORES QUE 75 MM. AF_05/2015</v>
      </c>
      <c r="D98" s="219" t="str">
        <f>ORÇAMENTO!E52</f>
        <v>UN</v>
      </c>
      <c r="E98" s="219">
        <f>ORÇAMENTO!F52</f>
        <v>3</v>
      </c>
      <c r="F98" s="96">
        <f>ORÇAMENTO!H52</f>
        <v>46.29</v>
      </c>
      <c r="G98" s="96">
        <f>ORÇAMENTO!I52</f>
        <v>138.87</v>
      </c>
      <c r="H98" s="138">
        <f>G98/RESUMO!$J$24</f>
        <v>2.070323833264733E-4</v>
      </c>
      <c r="I98" s="139">
        <f t="shared" si="6"/>
        <v>0.99939901422649569</v>
      </c>
      <c r="J98" s="219" t="str">
        <f t="shared" ref="J98" si="7">IF(I98&lt;=0.8,"A",(IF(I98&lt;=0.95,"B","C")))</f>
        <v>C</v>
      </c>
    </row>
    <row r="99" spans="1:10" x14ac:dyDescent="0.3">
      <c r="A99" s="218" t="str">
        <f>ORÇAMENTO!A87</f>
        <v>2.3.43</v>
      </c>
      <c r="B99" s="137" t="str">
        <f>ORÇAMENTO!C87</f>
        <v>COMPOSIÇÃO 46</v>
      </c>
      <c r="C99" s="117" t="str">
        <f>ORÇAMENTO!D87</f>
        <v>"T" VERTICAL DESCIDA 90° - 200X50MM - FORNECIMENTO E INSTALAÇÃO</v>
      </c>
      <c r="D99" s="219" t="str">
        <f>ORÇAMENTO!E87</f>
        <v xml:space="preserve">UN </v>
      </c>
      <c r="E99" s="219">
        <f>ORÇAMENTO!F87</f>
        <v>1</v>
      </c>
      <c r="F99" s="96">
        <f>ORÇAMENTO!H87</f>
        <v>88.89</v>
      </c>
      <c r="G99" s="96">
        <f>ORÇAMENTO!I87</f>
        <v>88.89</v>
      </c>
      <c r="H99" s="138">
        <f>G99/RESUMO!$J$24</f>
        <v>1.3252040436300289E-4</v>
      </c>
      <c r="I99" s="139">
        <f t="shared" si="6"/>
        <v>0.99953153463085864</v>
      </c>
      <c r="J99" s="219" t="str">
        <f t="shared" ref="J99:J100" si="8">IF(I99&lt;=0.8,"A",(IF(I99&lt;=0.95,"B","C")))</f>
        <v>C</v>
      </c>
    </row>
    <row r="100" spans="1:10" ht="27.6" x14ac:dyDescent="0.3">
      <c r="A100" s="218" t="str">
        <f>ORÇAMENTO!A71</f>
        <v>2.3.27</v>
      </c>
      <c r="B100" s="137" t="str">
        <f>ORÇAMENTO!C71</f>
        <v>COMPOSIÇÃO 30</v>
      </c>
      <c r="C100" s="117" t="str">
        <f>ORÇAMENTO!D71</f>
        <v>CURVA 90° HORIZONTAL PARA PERFILADO 38X38MM - FORNECIMENTO E INSTALAÇÃO</v>
      </c>
      <c r="D100" s="219" t="str">
        <f>ORÇAMENTO!E71</f>
        <v xml:space="preserve">UN </v>
      </c>
      <c r="E100" s="219">
        <f>ORÇAMENTO!F71</f>
        <v>6</v>
      </c>
      <c r="F100" s="96">
        <f>ORÇAMENTO!H71</f>
        <v>14.32</v>
      </c>
      <c r="G100" s="96">
        <f>ORÇAMENTO!I71</f>
        <v>85.92</v>
      </c>
      <c r="H100" s="138">
        <f>G100/RESUMO!$J$24</f>
        <v>1.2809262169950734E-4</v>
      </c>
      <c r="I100" s="139">
        <f t="shared" si="6"/>
        <v>0.99965962725255819</v>
      </c>
      <c r="J100" s="219" t="str">
        <f t="shared" si="8"/>
        <v>C</v>
      </c>
    </row>
    <row r="101" spans="1:10" x14ac:dyDescent="0.3">
      <c r="A101" s="218" t="str">
        <f>ORÇAMENTO!A90</f>
        <v>2.3.46</v>
      </c>
      <c r="B101" s="137" t="str">
        <f>ORÇAMENTO!C90</f>
        <v>COMPOSIÇÃO 49</v>
      </c>
      <c r="C101" s="117" t="str">
        <f>ORÇAMENTO!D90</f>
        <v>CURVA VERTICAL EXTERNA 90° - 200X50MM - FORNECIMENTO E INSTALAÇÃO</v>
      </c>
      <c r="D101" s="219" t="str">
        <f>ORÇAMENTO!E90</f>
        <v xml:space="preserve">UN </v>
      </c>
      <c r="E101" s="219">
        <f>ORÇAMENTO!F90</f>
        <v>2</v>
      </c>
      <c r="F101" s="96">
        <f>ORÇAMENTO!H90</f>
        <v>39.15</v>
      </c>
      <c r="G101" s="96">
        <f>ORÇAMENTO!I90</f>
        <v>78.3</v>
      </c>
      <c r="H101" s="138">
        <f>G101/RESUMO!$J$24</f>
        <v>1.1673245203760969E-4</v>
      </c>
      <c r="I101" s="139">
        <f t="shared" si="6"/>
        <v>0.99977635970459577</v>
      </c>
      <c r="J101" s="219" t="str">
        <f t="shared" ref="J101:J104" si="9">IF(I101&lt;=0.8,"A",(IF(I101&lt;=0.95,"B","C")))</f>
        <v>C</v>
      </c>
    </row>
    <row r="102" spans="1:10" ht="41.4" x14ac:dyDescent="0.3">
      <c r="A102" s="218" t="str">
        <f>ORÇAMENTO!A51</f>
        <v>2.3.7</v>
      </c>
      <c r="B102" s="137" t="str">
        <f>ORÇAMENTO!C51</f>
        <v xml:space="preserve">90469 </v>
      </c>
      <c r="C102" s="117" t="str">
        <f>ORÇAMENTO!D51</f>
        <v>CHUMBAMENTO LINEAR EM CONTRAPISO PARA RAMAIS/DISTRIBUIÇÃO COM DIÂMETROS MAIORES QUE 40 MM E MENORES OU IGUAIS A 75 MM. AF_05/2015</v>
      </c>
      <c r="D102" s="219" t="str">
        <f>ORÇAMENTO!E51</f>
        <v>M</v>
      </c>
      <c r="E102" s="219">
        <f>ORÇAMENTO!F51</f>
        <v>7.3</v>
      </c>
      <c r="F102" s="96">
        <f>ORÇAMENTO!H51</f>
        <v>9.17</v>
      </c>
      <c r="G102" s="96">
        <f>ORÇAMENTO!I51</f>
        <v>66.94</v>
      </c>
      <c r="H102" s="138">
        <f>G102/RESUMO!$J$24</f>
        <v>9.9796556058717658E-5</v>
      </c>
      <c r="I102" s="139">
        <f t="shared" si="6"/>
        <v>0.99987615626065451</v>
      </c>
      <c r="J102" s="219" t="str">
        <f t="shared" si="9"/>
        <v>C</v>
      </c>
    </row>
    <row r="103" spans="1:10" ht="41.4" x14ac:dyDescent="0.3">
      <c r="A103" s="218" t="str">
        <f>ORÇAMENTO!A65</f>
        <v>2.3.21</v>
      </c>
      <c r="B103" s="137" t="str">
        <f>ORÇAMENTO!C65</f>
        <v>COMPOSIÇÃO 25</v>
      </c>
      <c r="C103" s="117" t="str">
        <f>ORÇAMENTO!D65</f>
        <v>CURVA 90 GRAUS PARA ELETRODUTO, FERRO GALVANIZADO, DN 25 MM (1"), PARA CIRCUITOS TERMINAIS, INSTALADA EM PAREDE - FORNECIMENTO E INSTALAÇÃO. AF_12/2015</v>
      </c>
      <c r="D103" s="219" t="str">
        <f>ORÇAMENTO!E65</f>
        <v>UN</v>
      </c>
      <c r="E103" s="225">
        <f>ORÇAMENTO!F65</f>
        <v>1</v>
      </c>
      <c r="F103" s="96">
        <f>ORÇAMENTO!H65</f>
        <v>43.45</v>
      </c>
      <c r="G103" s="96">
        <f>ORÇAMENTO!I65</f>
        <v>43.45</v>
      </c>
      <c r="H103" s="138">
        <f>G103/RESUMO!$J$24</f>
        <v>6.4776820447434754E-5</v>
      </c>
      <c r="I103" s="139">
        <f t="shared" si="6"/>
        <v>0.99994093308110199</v>
      </c>
      <c r="J103" s="219" t="str">
        <f t="shared" si="9"/>
        <v>C</v>
      </c>
    </row>
    <row r="104" spans="1:10" ht="27.6" x14ac:dyDescent="0.3">
      <c r="A104" s="218" t="str">
        <f>ORÇAMENTO!A73</f>
        <v>2.3.29</v>
      </c>
      <c r="B104" s="137" t="str">
        <f>ORÇAMENTO!C73</f>
        <v>COMPOSIÇÃO 32</v>
      </c>
      <c r="C104" s="117" t="str">
        <f>ORÇAMENTO!D73</f>
        <v>CURVA 90° VERTICAL EXTERNA PARA PERFILADO 38X38MM - FORNECIMENTO E INSTALAÇÃO</v>
      </c>
      <c r="D104" s="219" t="str">
        <f>ORÇAMENTO!E73</f>
        <v xml:space="preserve">UN </v>
      </c>
      <c r="E104" s="219">
        <f>ORÇAMENTO!F73</f>
        <v>2</v>
      </c>
      <c r="F104" s="96">
        <f>ORÇAMENTO!H73</f>
        <v>13.42</v>
      </c>
      <c r="G104" s="96">
        <f>ORÇAMENTO!I73</f>
        <v>26.84</v>
      </c>
      <c r="H104" s="138">
        <f>G104/RESUMO!$J$24</f>
        <v>4.0014035921959695E-5</v>
      </c>
      <c r="I104" s="139">
        <f t="shared" si="6"/>
        <v>0.9999809471170239</v>
      </c>
      <c r="J104" s="219" t="str">
        <f t="shared" si="9"/>
        <v>C</v>
      </c>
    </row>
    <row r="105" spans="1:10" ht="27.6" x14ac:dyDescent="0.3">
      <c r="A105" s="218" t="str">
        <f>ORÇAMENTO!A72</f>
        <v>2.3.28</v>
      </c>
      <c r="B105" s="137" t="str">
        <f>ORÇAMENTO!C72</f>
        <v>COMPOSIÇÃO 31</v>
      </c>
      <c r="C105" s="117" t="str">
        <f>ORÇAMENTO!D72</f>
        <v>CURVA 90° VERTICAL INTERNA PARA PERFILADO 38X38MM - FORNECIMENTO E INSTALAÇÃO</v>
      </c>
      <c r="D105" s="219" t="str">
        <f>ORÇAMENTO!E72</f>
        <v xml:space="preserve">UN </v>
      </c>
      <c r="E105" s="219">
        <f>ORÇAMENTO!F72</f>
        <v>1</v>
      </c>
      <c r="F105" s="96">
        <f>ORÇAMENTO!H72</f>
        <v>12.78</v>
      </c>
      <c r="G105" s="96">
        <f>ORÇAMENTO!I72</f>
        <v>12.78</v>
      </c>
      <c r="H105" s="138">
        <f>G105/RESUMO!$J$24</f>
        <v>1.9052882976253535E-5</v>
      </c>
      <c r="I105" s="139">
        <f t="shared" si="6"/>
        <v>1.0000000000000002</v>
      </c>
      <c r="J105" s="219" t="str">
        <f t="shared" ref="J105" si="10">IF(I105&lt;=0.8,"A",(IF(I105&lt;=0.95,"B","C")))</f>
        <v>C</v>
      </c>
    </row>
    <row r="106" spans="1:10" x14ac:dyDescent="0.3">
      <c r="C106" s="144"/>
      <c r="D106" s="106"/>
      <c r="E106" s="106"/>
      <c r="F106" s="145"/>
      <c r="G106" s="109"/>
      <c r="H106" s="109"/>
      <c r="I106" s="109"/>
    </row>
    <row r="107" spans="1:10" x14ac:dyDescent="0.3">
      <c r="C107" s="144"/>
      <c r="D107" s="106"/>
      <c r="E107" s="106"/>
      <c r="F107" s="145"/>
      <c r="G107" s="109"/>
      <c r="H107" s="109"/>
      <c r="I107" s="109"/>
    </row>
    <row r="108" spans="1:10" x14ac:dyDescent="0.3">
      <c r="C108" s="144"/>
      <c r="D108" s="106"/>
      <c r="E108" s="106"/>
      <c r="F108" s="145"/>
      <c r="G108" s="109"/>
      <c r="H108" s="109"/>
      <c r="I108" s="109"/>
    </row>
    <row r="109" spans="1:10" x14ac:dyDescent="0.3">
      <c r="C109" s="144"/>
      <c r="D109" s="106"/>
      <c r="E109" s="106"/>
      <c r="F109" s="145"/>
      <c r="G109" s="109"/>
      <c r="H109" s="109"/>
      <c r="I109" s="109"/>
    </row>
    <row r="110" spans="1:10" x14ac:dyDescent="0.3">
      <c r="C110" s="144"/>
      <c r="D110" s="106"/>
      <c r="E110" s="106"/>
      <c r="F110" s="145"/>
      <c r="G110" s="109"/>
      <c r="H110" s="109"/>
      <c r="I110" s="109"/>
    </row>
    <row r="111" spans="1:10" x14ac:dyDescent="0.3">
      <c r="C111" s="144"/>
      <c r="D111" s="106"/>
      <c r="E111" s="106"/>
      <c r="F111" s="145"/>
      <c r="G111" s="109"/>
      <c r="H111" s="109"/>
      <c r="I111" s="109"/>
    </row>
    <row r="112" spans="1:10" x14ac:dyDescent="0.3">
      <c r="C112" s="144"/>
      <c r="D112" s="106"/>
      <c r="E112" s="106"/>
      <c r="F112" s="145"/>
      <c r="G112" s="109"/>
      <c r="H112" s="109"/>
      <c r="I112" s="109"/>
    </row>
    <row r="113" spans="3:9" x14ac:dyDescent="0.3">
      <c r="C113" s="144"/>
      <c r="D113" s="106"/>
      <c r="E113" s="106"/>
      <c r="F113" s="145"/>
      <c r="G113" s="109"/>
      <c r="H113" s="109"/>
      <c r="I113" s="109"/>
    </row>
    <row r="114" spans="3:9" x14ac:dyDescent="0.3">
      <c r="C114" s="144"/>
      <c r="D114" s="106"/>
      <c r="E114" s="106"/>
      <c r="F114" s="145"/>
      <c r="G114" s="109"/>
      <c r="H114" s="109"/>
      <c r="I114" s="109"/>
    </row>
    <row r="115" spans="3:9" x14ac:dyDescent="0.3">
      <c r="C115" s="144"/>
      <c r="D115" s="106"/>
      <c r="E115" s="106"/>
      <c r="F115" s="145"/>
      <c r="G115" s="109"/>
      <c r="H115" s="109"/>
      <c r="I115" s="109"/>
    </row>
    <row r="116" spans="3:9" x14ac:dyDescent="0.3">
      <c r="C116" s="144"/>
      <c r="D116" s="106"/>
      <c r="E116" s="106"/>
      <c r="F116" s="145"/>
      <c r="G116" s="109"/>
      <c r="H116" s="109"/>
      <c r="I116" s="109"/>
    </row>
    <row r="117" spans="3:9" x14ac:dyDescent="0.3">
      <c r="C117" s="144"/>
      <c r="D117" s="106"/>
      <c r="E117" s="106"/>
      <c r="F117" s="145"/>
      <c r="G117" s="109"/>
      <c r="H117" s="109"/>
      <c r="I117" s="109"/>
    </row>
    <row r="118" spans="3:9" x14ac:dyDescent="0.3">
      <c r="C118" s="144"/>
      <c r="D118" s="106"/>
      <c r="E118" s="106"/>
      <c r="F118" s="145"/>
      <c r="G118" s="109"/>
      <c r="H118" s="109"/>
      <c r="I118" s="109"/>
    </row>
    <row r="119" spans="3:9" x14ac:dyDescent="0.3">
      <c r="C119" s="144"/>
      <c r="D119" s="106"/>
      <c r="E119" s="106"/>
      <c r="F119" s="145"/>
      <c r="G119" s="109"/>
      <c r="H119" s="109"/>
      <c r="I119" s="109"/>
    </row>
    <row r="120" spans="3:9" x14ac:dyDescent="0.3">
      <c r="C120" s="144"/>
      <c r="D120" s="106"/>
      <c r="E120" s="106"/>
      <c r="F120" s="145"/>
      <c r="G120" s="109"/>
      <c r="H120" s="109"/>
      <c r="I120" s="109"/>
    </row>
    <row r="121" spans="3:9" x14ac:dyDescent="0.3">
      <c r="C121" s="144"/>
      <c r="D121" s="106"/>
      <c r="E121" s="106"/>
      <c r="F121" s="145"/>
      <c r="G121" s="109"/>
      <c r="H121" s="109"/>
      <c r="I121" s="109"/>
    </row>
    <row r="122" spans="3:9" x14ac:dyDescent="0.3">
      <c r="C122" s="144"/>
      <c r="D122" s="106"/>
      <c r="E122" s="106"/>
      <c r="F122" s="145"/>
      <c r="G122" s="109"/>
      <c r="H122" s="109"/>
      <c r="I122" s="109"/>
    </row>
    <row r="123" spans="3:9" x14ac:dyDescent="0.3">
      <c r="C123" s="144"/>
      <c r="D123" s="106"/>
      <c r="E123" s="106"/>
      <c r="F123" s="145"/>
      <c r="G123" s="109"/>
      <c r="H123" s="109"/>
      <c r="I123" s="109"/>
    </row>
    <row r="124" spans="3:9" x14ac:dyDescent="0.3">
      <c r="C124" s="144"/>
      <c r="D124" s="106"/>
      <c r="E124" s="106"/>
      <c r="F124" s="145"/>
      <c r="G124" s="109"/>
      <c r="H124" s="109"/>
      <c r="I124" s="109"/>
    </row>
    <row r="125" spans="3:9" x14ac:dyDescent="0.3">
      <c r="C125" s="144"/>
      <c r="D125" s="106"/>
      <c r="E125" s="106"/>
      <c r="F125" s="145"/>
      <c r="G125" s="109"/>
      <c r="H125" s="109"/>
      <c r="I125" s="109"/>
    </row>
    <row r="126" spans="3:9" x14ac:dyDescent="0.3">
      <c r="C126" s="144"/>
      <c r="D126" s="106"/>
      <c r="E126" s="106"/>
      <c r="F126" s="143"/>
      <c r="G126" s="109"/>
      <c r="H126" s="109"/>
      <c r="I126" s="109"/>
    </row>
    <row r="127" spans="3:9" x14ac:dyDescent="0.3">
      <c r="C127" s="144"/>
      <c r="D127" s="106"/>
      <c r="E127" s="106"/>
      <c r="F127" s="143"/>
      <c r="G127" s="109"/>
      <c r="H127" s="109"/>
      <c r="I127" s="109"/>
    </row>
    <row r="128" spans="3:9" x14ac:dyDescent="0.3">
      <c r="C128" s="144"/>
      <c r="D128" s="106"/>
      <c r="E128" s="106"/>
      <c r="F128" s="143"/>
      <c r="G128" s="109"/>
      <c r="H128" s="109"/>
      <c r="I128" s="109"/>
    </row>
    <row r="129" spans="3:9" x14ac:dyDescent="0.3">
      <c r="C129" s="144"/>
      <c r="D129" s="106"/>
      <c r="E129" s="106"/>
      <c r="F129" s="143"/>
      <c r="G129" s="109"/>
      <c r="H129" s="109"/>
      <c r="I129" s="109"/>
    </row>
    <row r="130" spans="3:9" x14ac:dyDescent="0.3">
      <c r="C130" s="144"/>
      <c r="D130" s="106"/>
      <c r="E130" s="106"/>
      <c r="F130" s="143"/>
      <c r="G130" s="109"/>
      <c r="H130" s="109"/>
      <c r="I130" s="109"/>
    </row>
    <row r="131" spans="3:9" x14ac:dyDescent="0.3">
      <c r="C131" s="144"/>
      <c r="D131" s="106"/>
      <c r="E131" s="106"/>
      <c r="F131" s="143"/>
      <c r="G131" s="109"/>
      <c r="H131" s="109"/>
      <c r="I131" s="109"/>
    </row>
    <row r="132" spans="3:9" x14ac:dyDescent="0.3">
      <c r="C132" s="144"/>
      <c r="D132" s="106"/>
      <c r="E132" s="106"/>
      <c r="F132" s="143"/>
      <c r="G132" s="109"/>
      <c r="H132" s="109"/>
      <c r="I132" s="109"/>
    </row>
    <row r="133" spans="3:9" x14ac:dyDescent="0.3">
      <c r="C133" s="144"/>
      <c r="D133" s="106"/>
      <c r="E133" s="106"/>
      <c r="F133" s="143"/>
      <c r="G133" s="109"/>
      <c r="H133" s="109"/>
      <c r="I133" s="109"/>
    </row>
    <row r="134" spans="3:9" x14ac:dyDescent="0.3">
      <c r="C134" s="144"/>
      <c r="D134" s="106"/>
      <c r="E134" s="106"/>
      <c r="F134" s="143"/>
      <c r="G134" s="109"/>
      <c r="H134" s="109"/>
      <c r="I134" s="109"/>
    </row>
    <row r="135" spans="3:9" x14ac:dyDescent="0.3">
      <c r="C135" s="144"/>
      <c r="D135" s="106"/>
      <c r="E135" s="106"/>
      <c r="F135" s="143"/>
      <c r="G135" s="109"/>
      <c r="H135" s="109"/>
      <c r="I135" s="109"/>
    </row>
    <row r="136" spans="3:9" x14ac:dyDescent="0.3">
      <c r="C136" s="144"/>
      <c r="D136" s="106"/>
      <c r="E136" s="106"/>
      <c r="F136" s="143"/>
      <c r="G136" s="109"/>
      <c r="H136" s="109"/>
      <c r="I136" s="109"/>
    </row>
    <row r="137" spans="3:9" x14ac:dyDescent="0.3">
      <c r="C137" s="144"/>
      <c r="D137" s="106"/>
      <c r="E137" s="106"/>
      <c r="F137" s="143"/>
      <c r="G137" s="109"/>
      <c r="H137" s="109"/>
      <c r="I137" s="109"/>
    </row>
    <row r="138" spans="3:9" x14ac:dyDescent="0.3">
      <c r="C138" s="144"/>
      <c r="D138" s="106"/>
      <c r="E138" s="106"/>
      <c r="F138" s="143"/>
      <c r="G138" s="109"/>
      <c r="H138" s="109"/>
      <c r="I138" s="109"/>
    </row>
    <row r="139" spans="3:9" x14ac:dyDescent="0.3">
      <c r="C139" s="144"/>
      <c r="D139" s="106"/>
      <c r="E139" s="106"/>
      <c r="F139" s="143"/>
      <c r="G139" s="109"/>
      <c r="H139" s="109"/>
      <c r="I139" s="109"/>
    </row>
    <row r="140" spans="3:9" x14ac:dyDescent="0.3">
      <c r="C140" s="144"/>
      <c r="D140" s="106"/>
      <c r="E140" s="106"/>
      <c r="F140" s="143"/>
      <c r="G140" s="109"/>
      <c r="H140" s="109"/>
      <c r="I140" s="109"/>
    </row>
    <row r="141" spans="3:9" x14ac:dyDescent="0.3">
      <c r="C141" s="144"/>
      <c r="D141" s="106"/>
      <c r="E141" s="106"/>
      <c r="F141" s="143"/>
      <c r="G141" s="109"/>
      <c r="H141" s="109"/>
      <c r="I141" s="109"/>
    </row>
    <row r="142" spans="3:9" x14ac:dyDescent="0.3">
      <c r="C142" s="144"/>
      <c r="D142" s="106"/>
      <c r="E142" s="106"/>
      <c r="F142" s="143"/>
      <c r="G142" s="109"/>
      <c r="H142" s="109"/>
      <c r="I142" s="109"/>
    </row>
    <row r="143" spans="3:9" x14ac:dyDescent="0.3">
      <c r="C143" s="144"/>
      <c r="D143" s="106"/>
      <c r="E143" s="106"/>
      <c r="F143" s="143"/>
      <c r="G143" s="109"/>
      <c r="H143" s="109"/>
      <c r="I143" s="109"/>
    </row>
    <row r="144" spans="3:9" x14ac:dyDescent="0.3">
      <c r="C144" s="144"/>
      <c r="D144" s="106"/>
      <c r="E144" s="106"/>
      <c r="F144" s="143"/>
      <c r="G144" s="109"/>
      <c r="H144" s="109"/>
      <c r="I144" s="109"/>
    </row>
    <row r="145" spans="3:9" x14ac:dyDescent="0.3">
      <c r="C145" s="144"/>
      <c r="D145" s="106"/>
      <c r="E145" s="106"/>
      <c r="F145" s="143"/>
      <c r="G145" s="109"/>
      <c r="H145" s="109"/>
      <c r="I145" s="109"/>
    </row>
    <row r="146" spans="3:9" x14ac:dyDescent="0.3">
      <c r="C146" s="144"/>
      <c r="D146" s="106"/>
      <c r="E146" s="106"/>
      <c r="F146" s="143"/>
      <c r="G146" s="109"/>
      <c r="H146" s="109"/>
      <c r="I146" s="109"/>
    </row>
    <row r="147" spans="3:9" x14ac:dyDescent="0.3">
      <c r="C147" s="144"/>
      <c r="D147" s="106"/>
      <c r="E147" s="106"/>
      <c r="F147" s="143"/>
      <c r="G147" s="109"/>
      <c r="H147" s="109"/>
      <c r="I147" s="109"/>
    </row>
    <row r="148" spans="3:9" x14ac:dyDescent="0.3">
      <c r="C148" s="144"/>
      <c r="D148" s="106"/>
      <c r="E148" s="106"/>
      <c r="F148" s="143"/>
      <c r="G148" s="109"/>
      <c r="H148" s="109"/>
      <c r="I148" s="109"/>
    </row>
    <row r="149" spans="3:9" x14ac:dyDescent="0.3">
      <c r="C149" s="144"/>
      <c r="D149" s="106"/>
      <c r="E149" s="106"/>
      <c r="F149" s="143"/>
      <c r="G149" s="109"/>
      <c r="H149" s="109"/>
      <c r="I149" s="109"/>
    </row>
    <row r="150" spans="3:9" x14ac:dyDescent="0.3">
      <c r="C150" s="144"/>
      <c r="D150" s="106"/>
      <c r="E150" s="106"/>
      <c r="F150" s="143"/>
      <c r="G150" s="109"/>
      <c r="H150" s="109"/>
      <c r="I150" s="109"/>
    </row>
    <row r="151" spans="3:9" x14ac:dyDescent="0.3">
      <c r="C151" s="144"/>
      <c r="D151" s="106"/>
      <c r="E151" s="106"/>
      <c r="F151" s="143"/>
      <c r="G151" s="109"/>
      <c r="H151" s="109"/>
      <c r="I151" s="109"/>
    </row>
    <row r="152" spans="3:9" x14ac:dyDescent="0.3">
      <c r="C152" s="144"/>
      <c r="D152" s="106"/>
      <c r="E152" s="106"/>
      <c r="F152" s="143"/>
      <c r="G152" s="109"/>
      <c r="H152" s="109"/>
      <c r="I152" s="109"/>
    </row>
    <row r="153" spans="3:9" x14ac:dyDescent="0.3">
      <c r="C153" s="144"/>
      <c r="D153" s="106"/>
      <c r="E153" s="106"/>
      <c r="F153" s="143"/>
      <c r="G153" s="109"/>
      <c r="H153" s="109"/>
      <c r="I153" s="109"/>
    </row>
    <row r="154" spans="3:9" x14ac:dyDescent="0.3">
      <c r="C154" s="144"/>
      <c r="D154" s="106"/>
      <c r="E154" s="106"/>
      <c r="F154" s="143"/>
      <c r="G154" s="109"/>
      <c r="H154" s="109"/>
      <c r="I154" s="109"/>
    </row>
    <row r="155" spans="3:9" x14ac:dyDescent="0.3">
      <c r="C155" s="144"/>
      <c r="D155" s="106"/>
      <c r="E155" s="106"/>
      <c r="F155" s="143"/>
      <c r="G155" s="109"/>
      <c r="H155" s="109"/>
      <c r="I155" s="109"/>
    </row>
    <row r="156" spans="3:9" x14ac:dyDescent="0.3">
      <c r="C156" s="144"/>
      <c r="D156" s="106"/>
      <c r="E156" s="106"/>
      <c r="F156" s="143"/>
      <c r="G156" s="109"/>
      <c r="H156" s="109"/>
      <c r="I156" s="109"/>
    </row>
    <row r="157" spans="3:9" x14ac:dyDescent="0.3">
      <c r="C157" s="144"/>
      <c r="D157" s="106"/>
      <c r="E157" s="106"/>
      <c r="F157" s="143"/>
      <c r="G157" s="109"/>
      <c r="H157" s="109"/>
      <c r="I157" s="109"/>
    </row>
    <row r="158" spans="3:9" x14ac:dyDescent="0.3">
      <c r="C158" s="144"/>
      <c r="D158" s="106"/>
      <c r="E158" s="106"/>
      <c r="F158" s="143"/>
      <c r="G158" s="109"/>
      <c r="H158" s="109"/>
      <c r="I158" s="109"/>
    </row>
    <row r="159" spans="3:9" x14ac:dyDescent="0.3">
      <c r="C159" s="144"/>
      <c r="D159" s="106"/>
      <c r="E159" s="106"/>
      <c r="F159" s="143"/>
      <c r="G159" s="109"/>
      <c r="H159" s="109"/>
      <c r="I159" s="109"/>
    </row>
    <row r="160" spans="3:9" x14ac:dyDescent="0.3">
      <c r="C160" s="144"/>
      <c r="D160" s="106"/>
      <c r="E160" s="106"/>
      <c r="F160" s="143"/>
      <c r="G160" s="109"/>
      <c r="H160" s="109"/>
      <c r="I160" s="109"/>
    </row>
    <row r="161" spans="3:9" x14ac:dyDescent="0.3">
      <c r="C161" s="144"/>
      <c r="D161" s="106"/>
      <c r="E161" s="106"/>
      <c r="F161" s="143"/>
      <c r="G161" s="109"/>
      <c r="H161" s="109"/>
      <c r="I161" s="109"/>
    </row>
    <row r="162" spans="3:9" x14ac:dyDescent="0.3">
      <c r="C162" s="144"/>
      <c r="D162" s="106"/>
      <c r="E162" s="106"/>
      <c r="F162" s="143"/>
      <c r="G162" s="109"/>
      <c r="H162" s="109"/>
      <c r="I162" s="109"/>
    </row>
    <row r="163" spans="3:9" x14ac:dyDescent="0.3">
      <c r="C163" s="144"/>
      <c r="D163" s="106"/>
      <c r="E163" s="106"/>
      <c r="F163" s="143"/>
      <c r="G163" s="109"/>
      <c r="H163" s="109"/>
      <c r="I163" s="109"/>
    </row>
    <row r="164" spans="3:9" x14ac:dyDescent="0.3">
      <c r="C164" s="144"/>
      <c r="D164" s="106"/>
      <c r="E164" s="106"/>
      <c r="F164" s="143"/>
      <c r="G164" s="109"/>
      <c r="H164" s="109"/>
      <c r="I164" s="109"/>
    </row>
    <row r="165" spans="3:9" x14ac:dyDescent="0.3">
      <c r="C165" s="144"/>
      <c r="D165" s="106"/>
      <c r="E165" s="106"/>
      <c r="F165" s="143"/>
      <c r="G165" s="109"/>
      <c r="H165" s="109"/>
      <c r="I165" s="109"/>
    </row>
    <row r="166" spans="3:9" x14ac:dyDescent="0.3">
      <c r="C166" s="144"/>
      <c r="D166" s="106"/>
      <c r="E166" s="106"/>
      <c r="F166" s="143"/>
      <c r="G166" s="109"/>
      <c r="H166" s="109"/>
      <c r="I166" s="109"/>
    </row>
    <row r="167" spans="3:9" x14ac:dyDescent="0.3">
      <c r="C167" s="144"/>
      <c r="D167" s="106"/>
      <c r="E167" s="106"/>
      <c r="F167" s="143"/>
    </row>
    <row r="168" spans="3:9" x14ac:dyDescent="0.3">
      <c r="C168" s="144"/>
      <c r="D168" s="106"/>
      <c r="E168" s="106"/>
      <c r="F168" s="143"/>
    </row>
    <row r="169" spans="3:9" x14ac:dyDescent="0.3">
      <c r="C169" s="144"/>
      <c r="D169" s="106"/>
      <c r="E169" s="106"/>
      <c r="F169" s="143"/>
    </row>
    <row r="170" spans="3:9" x14ac:dyDescent="0.3">
      <c r="C170" s="144"/>
      <c r="D170" s="106"/>
      <c r="E170" s="106"/>
      <c r="F170" s="143"/>
    </row>
    <row r="171" spans="3:9" x14ac:dyDescent="0.3">
      <c r="C171" s="144"/>
      <c r="D171" s="106"/>
      <c r="E171" s="106"/>
      <c r="F171" s="143"/>
    </row>
    <row r="172" spans="3:9" x14ac:dyDescent="0.3">
      <c r="C172" s="144"/>
      <c r="D172" s="106"/>
      <c r="E172" s="106"/>
      <c r="F172" s="143"/>
    </row>
    <row r="173" spans="3:9" x14ac:dyDescent="0.3">
      <c r="C173" s="144"/>
      <c r="D173" s="106"/>
      <c r="E173" s="106"/>
      <c r="F173" s="143"/>
    </row>
    <row r="174" spans="3:9" x14ac:dyDescent="0.3">
      <c r="C174" s="144"/>
      <c r="D174" s="106"/>
      <c r="E174" s="106"/>
      <c r="F174" s="143"/>
    </row>
    <row r="175" spans="3:9" x14ac:dyDescent="0.3">
      <c r="C175" s="144"/>
      <c r="D175" s="106"/>
      <c r="E175" s="106"/>
      <c r="F175" s="143"/>
    </row>
    <row r="176" spans="3:9" x14ac:dyDescent="0.3">
      <c r="C176" s="144"/>
      <c r="D176" s="106"/>
      <c r="E176" s="106"/>
      <c r="F176" s="143"/>
    </row>
    <row r="177" spans="3:6" x14ac:dyDescent="0.3">
      <c r="C177" s="144"/>
      <c r="D177" s="106"/>
      <c r="E177" s="106"/>
      <c r="F177" s="143"/>
    </row>
    <row r="178" spans="3:6" x14ac:dyDescent="0.3">
      <c r="C178" s="144"/>
      <c r="D178" s="106"/>
      <c r="E178" s="106"/>
      <c r="F178" s="143"/>
    </row>
    <row r="179" spans="3:6" x14ac:dyDescent="0.3">
      <c r="C179" s="144"/>
      <c r="D179" s="106"/>
      <c r="E179" s="106"/>
      <c r="F179" s="143"/>
    </row>
    <row r="180" spans="3:6" x14ac:dyDescent="0.3">
      <c r="C180" s="144"/>
      <c r="D180" s="106"/>
      <c r="E180" s="106"/>
      <c r="F180" s="143"/>
    </row>
    <row r="181" spans="3:6" x14ac:dyDescent="0.3">
      <c r="C181" s="144"/>
      <c r="D181" s="106"/>
      <c r="E181" s="106"/>
      <c r="F181" s="143"/>
    </row>
    <row r="182" spans="3:6" x14ac:dyDescent="0.3">
      <c r="C182" s="144"/>
      <c r="D182" s="106"/>
      <c r="E182" s="106"/>
      <c r="F182" s="143"/>
    </row>
    <row r="183" spans="3:6" x14ac:dyDescent="0.3">
      <c r="C183" s="144"/>
      <c r="D183" s="106"/>
      <c r="E183" s="106"/>
      <c r="F183" s="143"/>
    </row>
    <row r="184" spans="3:6" x14ac:dyDescent="0.3">
      <c r="C184" s="144"/>
      <c r="D184" s="106"/>
      <c r="E184" s="106"/>
      <c r="F184" s="143"/>
    </row>
    <row r="185" spans="3:6" x14ac:dyDescent="0.3">
      <c r="C185" s="144"/>
      <c r="D185" s="106"/>
      <c r="E185" s="106"/>
      <c r="F185" s="143"/>
    </row>
    <row r="186" spans="3:6" x14ac:dyDescent="0.3">
      <c r="C186" s="144"/>
      <c r="D186" s="106"/>
      <c r="E186" s="106"/>
      <c r="F186" s="143"/>
    </row>
    <row r="187" spans="3:6" x14ac:dyDescent="0.3">
      <c r="C187" s="144"/>
      <c r="D187" s="106"/>
      <c r="E187" s="106"/>
      <c r="F187" s="143"/>
    </row>
    <row r="188" spans="3:6" x14ac:dyDescent="0.3">
      <c r="C188" s="144"/>
      <c r="D188" s="106"/>
      <c r="E188" s="106"/>
      <c r="F188" s="143"/>
    </row>
    <row r="189" spans="3:6" x14ac:dyDescent="0.3">
      <c r="C189" s="144"/>
      <c r="D189" s="106"/>
      <c r="E189" s="106"/>
      <c r="F189" s="143"/>
    </row>
    <row r="190" spans="3:6" x14ac:dyDescent="0.3">
      <c r="C190" s="144"/>
      <c r="D190" s="106"/>
      <c r="E190" s="106"/>
      <c r="F190" s="143"/>
    </row>
    <row r="191" spans="3:6" x14ac:dyDescent="0.3">
      <c r="C191" s="144"/>
      <c r="D191" s="106"/>
      <c r="E191" s="106"/>
      <c r="F191" s="143"/>
    </row>
    <row r="192" spans="3:6" x14ac:dyDescent="0.3">
      <c r="C192" s="144"/>
      <c r="D192" s="106"/>
      <c r="E192" s="106"/>
      <c r="F192" s="143"/>
    </row>
    <row r="193" spans="3:6" x14ac:dyDescent="0.3">
      <c r="C193" s="144"/>
      <c r="D193" s="106"/>
      <c r="E193" s="106"/>
      <c r="F193" s="143"/>
    </row>
    <row r="194" spans="3:6" x14ac:dyDescent="0.3">
      <c r="C194" s="144"/>
      <c r="D194" s="106"/>
      <c r="E194" s="106"/>
      <c r="F194" s="143"/>
    </row>
    <row r="195" spans="3:6" x14ac:dyDescent="0.3">
      <c r="C195" s="144"/>
      <c r="D195" s="106"/>
      <c r="E195" s="106"/>
      <c r="F195" s="143"/>
    </row>
    <row r="196" spans="3:6" x14ac:dyDescent="0.3">
      <c r="C196" s="144"/>
      <c r="D196" s="106"/>
      <c r="E196" s="106"/>
      <c r="F196" s="143"/>
    </row>
    <row r="197" spans="3:6" x14ac:dyDescent="0.3">
      <c r="C197" s="144"/>
      <c r="D197" s="106"/>
      <c r="E197" s="106"/>
      <c r="F197" s="143"/>
    </row>
    <row r="198" spans="3:6" x14ac:dyDescent="0.3">
      <c r="C198" s="144"/>
      <c r="D198" s="106"/>
      <c r="E198" s="106"/>
      <c r="F198" s="143"/>
    </row>
    <row r="199" spans="3:6" x14ac:dyDescent="0.3">
      <c r="C199" s="144"/>
      <c r="D199" s="106"/>
      <c r="E199" s="106"/>
      <c r="F199" s="143"/>
    </row>
    <row r="200" spans="3:6" x14ac:dyDescent="0.3">
      <c r="C200" s="144"/>
      <c r="D200" s="106"/>
      <c r="E200" s="106"/>
      <c r="F200" s="143"/>
    </row>
    <row r="201" spans="3:6" x14ac:dyDescent="0.3">
      <c r="C201" s="144"/>
      <c r="D201" s="106"/>
      <c r="E201" s="106"/>
      <c r="F201" s="143"/>
    </row>
    <row r="202" spans="3:6" x14ac:dyDescent="0.3">
      <c r="C202" s="144"/>
      <c r="D202" s="106"/>
      <c r="E202" s="106"/>
      <c r="F202" s="143"/>
    </row>
    <row r="203" spans="3:6" x14ac:dyDescent="0.3">
      <c r="C203" s="144"/>
      <c r="D203" s="106"/>
      <c r="E203" s="106"/>
      <c r="F203" s="143"/>
    </row>
    <row r="204" spans="3:6" x14ac:dyDescent="0.3">
      <c r="C204" s="144"/>
      <c r="D204" s="106"/>
      <c r="E204" s="106"/>
      <c r="F204" s="143"/>
    </row>
    <row r="205" spans="3:6" x14ac:dyDescent="0.3">
      <c r="C205" s="144"/>
      <c r="D205" s="106"/>
      <c r="E205" s="106"/>
      <c r="F205" s="143"/>
    </row>
    <row r="206" spans="3:6" x14ac:dyDescent="0.3">
      <c r="C206" s="144"/>
      <c r="D206" s="106"/>
      <c r="E206" s="106"/>
      <c r="F206" s="143"/>
    </row>
    <row r="207" spans="3:6" x14ac:dyDescent="0.3">
      <c r="C207" s="144"/>
      <c r="D207" s="106"/>
      <c r="E207" s="106"/>
      <c r="F207" s="143"/>
    </row>
    <row r="208" spans="3:6" x14ac:dyDescent="0.3">
      <c r="C208" s="144"/>
      <c r="D208" s="106"/>
      <c r="E208" s="106"/>
      <c r="F208" s="143"/>
    </row>
    <row r="209" spans="3:6" x14ac:dyDescent="0.3">
      <c r="C209" s="144"/>
      <c r="D209" s="106"/>
      <c r="E209" s="106"/>
      <c r="F209" s="143"/>
    </row>
    <row r="210" spans="3:6" x14ac:dyDescent="0.3">
      <c r="C210" s="144"/>
      <c r="D210" s="106"/>
      <c r="E210" s="106"/>
      <c r="F210" s="143"/>
    </row>
    <row r="211" spans="3:6" x14ac:dyDescent="0.3">
      <c r="C211" s="144"/>
      <c r="D211" s="106"/>
      <c r="E211" s="106"/>
      <c r="F211" s="143"/>
    </row>
    <row r="212" spans="3:6" x14ac:dyDescent="0.3">
      <c r="C212" s="144"/>
      <c r="D212" s="106"/>
      <c r="E212" s="106"/>
      <c r="F212" s="143"/>
    </row>
    <row r="213" spans="3:6" x14ac:dyDescent="0.3">
      <c r="C213" s="144"/>
      <c r="D213" s="106"/>
      <c r="E213" s="106"/>
      <c r="F213" s="143"/>
    </row>
    <row r="214" spans="3:6" x14ac:dyDescent="0.3">
      <c r="C214" s="144"/>
      <c r="D214" s="106"/>
      <c r="E214" s="106"/>
      <c r="F214" s="143"/>
    </row>
    <row r="215" spans="3:6" x14ac:dyDescent="0.3">
      <c r="C215" s="144"/>
      <c r="D215" s="106"/>
      <c r="E215" s="106"/>
      <c r="F215" s="143"/>
    </row>
    <row r="216" spans="3:6" x14ac:dyDescent="0.3">
      <c r="C216" s="144"/>
      <c r="D216" s="106"/>
      <c r="E216" s="106"/>
      <c r="F216" s="143"/>
    </row>
    <row r="217" spans="3:6" x14ac:dyDescent="0.3">
      <c r="C217" s="144"/>
      <c r="D217" s="106"/>
      <c r="E217" s="106"/>
      <c r="F217" s="143"/>
    </row>
    <row r="218" spans="3:6" x14ac:dyDescent="0.3">
      <c r="C218" s="144"/>
      <c r="D218" s="106"/>
      <c r="E218" s="106"/>
      <c r="F218" s="143"/>
    </row>
    <row r="219" spans="3:6" x14ac:dyDescent="0.3">
      <c r="C219" s="144"/>
      <c r="D219" s="106"/>
      <c r="E219" s="106"/>
      <c r="F219" s="143"/>
    </row>
    <row r="220" spans="3:6" x14ac:dyDescent="0.3">
      <c r="C220" s="144"/>
      <c r="D220" s="106"/>
      <c r="E220" s="106"/>
      <c r="F220" s="143"/>
    </row>
    <row r="221" spans="3:6" x14ac:dyDescent="0.3">
      <c r="C221" s="144"/>
      <c r="D221" s="106"/>
      <c r="E221" s="106"/>
      <c r="F221" s="143"/>
    </row>
    <row r="222" spans="3:6" x14ac:dyDescent="0.3">
      <c r="C222" s="144"/>
      <c r="D222" s="106"/>
      <c r="E222" s="106"/>
      <c r="F222" s="143"/>
    </row>
    <row r="223" spans="3:6" x14ac:dyDescent="0.3">
      <c r="C223" s="144"/>
      <c r="D223" s="106"/>
      <c r="E223" s="106"/>
      <c r="F223" s="143"/>
    </row>
    <row r="224" spans="3:6" x14ac:dyDescent="0.3">
      <c r="C224" s="144"/>
      <c r="D224" s="106"/>
      <c r="E224" s="106"/>
      <c r="F224" s="143"/>
    </row>
    <row r="225" spans="3:6" x14ac:dyDescent="0.3">
      <c r="C225" s="144"/>
      <c r="D225" s="106"/>
      <c r="E225" s="106"/>
      <c r="F225" s="143"/>
    </row>
    <row r="226" spans="3:6" x14ac:dyDescent="0.3">
      <c r="C226" s="144"/>
      <c r="D226" s="106"/>
      <c r="E226" s="106"/>
      <c r="F226" s="143"/>
    </row>
    <row r="227" spans="3:6" x14ac:dyDescent="0.3">
      <c r="C227" s="144"/>
      <c r="D227" s="106"/>
      <c r="E227" s="106"/>
      <c r="F227" s="143"/>
    </row>
    <row r="228" spans="3:6" x14ac:dyDescent="0.3">
      <c r="C228" s="144"/>
      <c r="D228" s="106"/>
      <c r="E228" s="106"/>
      <c r="F228" s="143"/>
    </row>
    <row r="229" spans="3:6" x14ac:dyDescent="0.3">
      <c r="C229" s="144"/>
      <c r="D229" s="106"/>
      <c r="E229" s="106"/>
      <c r="F229" s="143"/>
    </row>
    <row r="230" spans="3:6" x14ac:dyDescent="0.3">
      <c r="C230" s="144"/>
      <c r="D230" s="106"/>
      <c r="E230" s="106"/>
      <c r="F230" s="143"/>
    </row>
    <row r="231" spans="3:6" x14ac:dyDescent="0.3">
      <c r="C231" s="144"/>
      <c r="D231" s="106"/>
      <c r="E231" s="106"/>
      <c r="F231" s="143"/>
    </row>
    <row r="232" spans="3:6" x14ac:dyDescent="0.3">
      <c r="C232" s="144"/>
      <c r="D232" s="106"/>
      <c r="E232" s="106"/>
      <c r="F232" s="143"/>
    </row>
    <row r="233" spans="3:6" x14ac:dyDescent="0.3">
      <c r="C233" s="144"/>
      <c r="D233" s="106"/>
      <c r="E233" s="106"/>
      <c r="F233" s="143"/>
    </row>
    <row r="234" spans="3:6" x14ac:dyDescent="0.3">
      <c r="C234" s="144"/>
      <c r="D234" s="106"/>
      <c r="E234" s="106"/>
      <c r="F234" s="143"/>
    </row>
    <row r="235" spans="3:6" x14ac:dyDescent="0.3">
      <c r="C235" s="144"/>
      <c r="D235" s="106"/>
      <c r="E235" s="106"/>
      <c r="F235" s="143"/>
    </row>
    <row r="236" spans="3:6" x14ac:dyDescent="0.3">
      <c r="C236" s="144"/>
      <c r="D236" s="106"/>
      <c r="E236" s="106"/>
      <c r="F236" s="143"/>
    </row>
    <row r="237" spans="3:6" x14ac:dyDescent="0.3">
      <c r="C237" s="144"/>
      <c r="D237" s="106"/>
      <c r="E237" s="106"/>
      <c r="F237" s="143"/>
    </row>
    <row r="238" spans="3:6" x14ac:dyDescent="0.3">
      <c r="C238" s="144"/>
      <c r="D238" s="106"/>
      <c r="E238" s="106"/>
      <c r="F238" s="143"/>
    </row>
    <row r="239" spans="3:6" x14ac:dyDescent="0.3">
      <c r="C239" s="144"/>
      <c r="D239" s="106"/>
      <c r="E239" s="106"/>
      <c r="F239" s="143"/>
    </row>
    <row r="240" spans="3:6" x14ac:dyDescent="0.3">
      <c r="C240" s="144"/>
      <c r="D240" s="106"/>
      <c r="E240" s="106"/>
      <c r="F240" s="143"/>
    </row>
    <row r="241" spans="3:6" x14ac:dyDescent="0.3">
      <c r="C241" s="144"/>
      <c r="D241" s="106"/>
      <c r="E241" s="106"/>
      <c r="F241" s="143"/>
    </row>
    <row r="242" spans="3:6" x14ac:dyDescent="0.3">
      <c r="C242" s="144"/>
      <c r="D242" s="106"/>
      <c r="E242" s="106"/>
      <c r="F242" s="143"/>
    </row>
    <row r="243" spans="3:6" x14ac:dyDescent="0.3">
      <c r="C243" s="144"/>
      <c r="D243" s="106"/>
      <c r="E243" s="106"/>
      <c r="F243" s="143"/>
    </row>
    <row r="244" spans="3:6" x14ac:dyDescent="0.3">
      <c r="C244" s="144"/>
      <c r="D244" s="106"/>
      <c r="E244" s="106"/>
      <c r="F244" s="143"/>
    </row>
    <row r="245" spans="3:6" x14ac:dyDescent="0.3">
      <c r="C245" s="144"/>
      <c r="D245" s="106"/>
      <c r="E245" s="106"/>
      <c r="F245" s="143"/>
    </row>
    <row r="246" spans="3:6" x14ac:dyDescent="0.3">
      <c r="C246" s="144"/>
      <c r="D246" s="106"/>
      <c r="E246" s="106"/>
      <c r="F246" s="143"/>
    </row>
    <row r="247" spans="3:6" x14ac:dyDescent="0.3">
      <c r="C247" s="144"/>
      <c r="D247" s="106"/>
      <c r="E247" s="106"/>
      <c r="F247" s="143"/>
    </row>
    <row r="248" spans="3:6" x14ac:dyDescent="0.3">
      <c r="C248" s="144"/>
      <c r="D248" s="106"/>
      <c r="E248" s="106"/>
      <c r="F248" s="143"/>
    </row>
    <row r="249" spans="3:6" x14ac:dyDescent="0.3">
      <c r="C249" s="144"/>
      <c r="D249" s="106"/>
      <c r="E249" s="106"/>
      <c r="F249" s="143"/>
    </row>
    <row r="250" spans="3:6" x14ac:dyDescent="0.3">
      <c r="C250" s="144"/>
      <c r="D250" s="106"/>
      <c r="E250" s="106"/>
      <c r="F250" s="143"/>
    </row>
    <row r="251" spans="3:6" x14ac:dyDescent="0.3">
      <c r="C251" s="144"/>
      <c r="D251" s="106"/>
      <c r="E251" s="106"/>
      <c r="F251" s="143"/>
    </row>
    <row r="252" spans="3:6" x14ac:dyDescent="0.3">
      <c r="C252" s="144"/>
      <c r="D252" s="106"/>
      <c r="E252" s="106"/>
      <c r="F252" s="143"/>
    </row>
    <row r="253" spans="3:6" x14ac:dyDescent="0.3">
      <c r="C253" s="144"/>
      <c r="D253" s="106"/>
      <c r="E253" s="106"/>
      <c r="F253" s="143"/>
    </row>
    <row r="254" spans="3:6" x14ac:dyDescent="0.3">
      <c r="C254" s="144"/>
      <c r="D254" s="106"/>
      <c r="E254" s="106"/>
      <c r="F254" s="143"/>
    </row>
    <row r="255" spans="3:6" x14ac:dyDescent="0.3">
      <c r="C255" s="144"/>
      <c r="D255" s="106"/>
      <c r="E255" s="106"/>
      <c r="F255" s="143"/>
    </row>
    <row r="256" spans="3:6" x14ac:dyDescent="0.3">
      <c r="C256" s="144"/>
      <c r="D256" s="106"/>
      <c r="E256" s="106"/>
      <c r="F256" s="143"/>
    </row>
    <row r="257" spans="3:6" x14ac:dyDescent="0.3">
      <c r="C257" s="144"/>
      <c r="D257" s="106"/>
      <c r="E257" s="106"/>
      <c r="F257" s="143"/>
    </row>
    <row r="258" spans="3:6" x14ac:dyDescent="0.3">
      <c r="C258" s="144"/>
      <c r="D258" s="106"/>
      <c r="E258" s="106"/>
      <c r="F258" s="143"/>
    </row>
    <row r="259" spans="3:6" x14ac:dyDescent="0.3">
      <c r="C259" s="144"/>
      <c r="D259" s="106"/>
      <c r="E259" s="106"/>
      <c r="F259" s="143"/>
    </row>
    <row r="260" spans="3:6" x14ac:dyDescent="0.3">
      <c r="C260" s="144"/>
      <c r="D260" s="106"/>
      <c r="E260" s="106"/>
      <c r="F260" s="143"/>
    </row>
    <row r="261" spans="3:6" x14ac:dyDescent="0.3">
      <c r="C261" s="144"/>
      <c r="D261" s="106"/>
      <c r="E261" s="106"/>
      <c r="F261" s="143"/>
    </row>
    <row r="262" spans="3:6" x14ac:dyDescent="0.3">
      <c r="C262" s="144"/>
      <c r="D262" s="106"/>
      <c r="E262" s="106"/>
      <c r="F262" s="143"/>
    </row>
    <row r="263" spans="3:6" x14ac:dyDescent="0.3">
      <c r="C263" s="144"/>
      <c r="D263" s="106"/>
      <c r="E263" s="106"/>
      <c r="F263" s="143"/>
    </row>
    <row r="264" spans="3:6" x14ac:dyDescent="0.3">
      <c r="C264" s="144"/>
      <c r="D264" s="106"/>
      <c r="E264" s="106"/>
      <c r="F264" s="143"/>
    </row>
    <row r="265" spans="3:6" x14ac:dyDescent="0.3">
      <c r="C265" s="144"/>
      <c r="D265" s="106"/>
      <c r="E265" s="106"/>
      <c r="F265" s="143"/>
    </row>
    <row r="266" spans="3:6" x14ac:dyDescent="0.3">
      <c r="C266" s="144"/>
      <c r="D266" s="106"/>
      <c r="E266" s="106"/>
      <c r="F266" s="143"/>
    </row>
    <row r="267" spans="3:6" x14ac:dyDescent="0.3">
      <c r="C267" s="144"/>
      <c r="D267" s="106"/>
      <c r="E267" s="106"/>
      <c r="F267" s="143"/>
    </row>
    <row r="268" spans="3:6" x14ac:dyDescent="0.3">
      <c r="C268" s="144"/>
      <c r="D268" s="106"/>
      <c r="E268" s="106"/>
      <c r="F268" s="143"/>
    </row>
    <row r="269" spans="3:6" x14ac:dyDescent="0.3">
      <c r="C269" s="144"/>
      <c r="D269" s="106"/>
      <c r="E269" s="106"/>
      <c r="F269" s="143"/>
    </row>
    <row r="270" spans="3:6" x14ac:dyDescent="0.3">
      <c r="C270" s="144"/>
      <c r="D270" s="106"/>
      <c r="E270" s="106"/>
      <c r="F270" s="143"/>
    </row>
    <row r="271" spans="3:6" x14ac:dyDescent="0.3">
      <c r="C271" s="144"/>
      <c r="D271" s="106"/>
      <c r="E271" s="106"/>
      <c r="F271" s="143"/>
    </row>
    <row r="272" spans="3:6" x14ac:dyDescent="0.3">
      <c r="C272" s="144"/>
      <c r="D272" s="106"/>
      <c r="E272" s="106"/>
      <c r="F272" s="143"/>
    </row>
    <row r="273" spans="3:6" x14ac:dyDescent="0.3">
      <c r="C273" s="144"/>
      <c r="D273" s="106"/>
      <c r="E273" s="106"/>
      <c r="F273" s="143"/>
    </row>
    <row r="274" spans="3:6" x14ac:dyDescent="0.3">
      <c r="C274" s="144"/>
      <c r="D274" s="106"/>
      <c r="E274" s="106"/>
      <c r="F274" s="143"/>
    </row>
    <row r="275" spans="3:6" x14ac:dyDescent="0.3">
      <c r="C275" s="144"/>
      <c r="D275" s="106"/>
      <c r="E275" s="106"/>
      <c r="F275" s="143"/>
    </row>
    <row r="276" spans="3:6" x14ac:dyDescent="0.3">
      <c r="C276" s="144"/>
      <c r="D276" s="106"/>
      <c r="E276" s="106"/>
      <c r="F276" s="143"/>
    </row>
    <row r="277" spans="3:6" x14ac:dyDescent="0.3">
      <c r="C277" s="144"/>
      <c r="D277" s="106"/>
      <c r="E277" s="106"/>
      <c r="F277" s="143"/>
    </row>
    <row r="278" spans="3:6" x14ac:dyDescent="0.3">
      <c r="C278" s="144"/>
      <c r="D278" s="106"/>
      <c r="E278" s="106"/>
      <c r="F278" s="143"/>
    </row>
    <row r="279" spans="3:6" x14ac:dyDescent="0.3">
      <c r="C279" s="144"/>
      <c r="D279" s="106"/>
      <c r="E279" s="106"/>
      <c r="F279" s="143"/>
    </row>
    <row r="280" spans="3:6" x14ac:dyDescent="0.3">
      <c r="C280" s="144"/>
      <c r="D280" s="106"/>
      <c r="E280" s="106"/>
      <c r="F280" s="143"/>
    </row>
    <row r="281" spans="3:6" x14ac:dyDescent="0.3">
      <c r="C281" s="144"/>
      <c r="D281" s="106"/>
      <c r="E281" s="106"/>
      <c r="F281" s="143"/>
    </row>
    <row r="282" spans="3:6" x14ac:dyDescent="0.3">
      <c r="C282" s="144"/>
      <c r="D282" s="106"/>
      <c r="E282" s="106"/>
      <c r="F282" s="143"/>
    </row>
    <row r="283" spans="3:6" x14ac:dyDescent="0.3">
      <c r="C283" s="144"/>
      <c r="D283" s="106"/>
      <c r="E283" s="106"/>
      <c r="F283" s="143"/>
    </row>
    <row r="284" spans="3:6" x14ac:dyDescent="0.3">
      <c r="C284" s="144"/>
      <c r="D284" s="106"/>
      <c r="E284" s="106"/>
      <c r="F284" s="143"/>
    </row>
    <row r="285" spans="3:6" x14ac:dyDescent="0.3">
      <c r="C285" s="144"/>
      <c r="D285" s="106"/>
      <c r="E285" s="106"/>
      <c r="F285" s="143"/>
    </row>
    <row r="286" spans="3:6" x14ac:dyDescent="0.3">
      <c r="C286" s="144"/>
      <c r="D286" s="106"/>
      <c r="E286" s="106"/>
      <c r="F286" s="143"/>
    </row>
    <row r="287" spans="3:6" x14ac:dyDescent="0.3">
      <c r="C287" s="144"/>
      <c r="D287" s="106"/>
      <c r="E287" s="106"/>
      <c r="F287" s="143"/>
    </row>
    <row r="288" spans="3:6" x14ac:dyDescent="0.3">
      <c r="C288" s="144"/>
      <c r="D288" s="106"/>
      <c r="E288" s="106"/>
      <c r="F288" s="143"/>
    </row>
    <row r="289" spans="3:6" x14ac:dyDescent="0.3">
      <c r="C289" s="144"/>
      <c r="D289" s="106"/>
      <c r="E289" s="106"/>
      <c r="F289" s="143"/>
    </row>
    <row r="290" spans="3:6" x14ac:dyDescent="0.3">
      <c r="C290" s="144"/>
      <c r="D290" s="106"/>
      <c r="E290" s="106"/>
      <c r="F290" s="143"/>
    </row>
    <row r="291" spans="3:6" x14ac:dyDescent="0.3">
      <c r="C291" s="144"/>
      <c r="D291" s="106"/>
      <c r="E291" s="106"/>
      <c r="F291" s="143"/>
    </row>
    <row r="292" spans="3:6" x14ac:dyDescent="0.3">
      <c r="C292" s="144"/>
      <c r="D292" s="106"/>
      <c r="E292" s="106"/>
      <c r="F292" s="143"/>
    </row>
    <row r="293" spans="3:6" x14ac:dyDescent="0.3">
      <c r="C293" s="144"/>
      <c r="D293" s="106"/>
      <c r="E293" s="106"/>
      <c r="F293" s="143"/>
    </row>
    <row r="294" spans="3:6" x14ac:dyDescent="0.3">
      <c r="C294" s="144"/>
      <c r="D294" s="106"/>
      <c r="E294" s="106"/>
      <c r="F294" s="143"/>
    </row>
    <row r="295" spans="3:6" x14ac:dyDescent="0.3">
      <c r="C295" s="144"/>
      <c r="D295" s="106"/>
      <c r="E295" s="106"/>
      <c r="F295" s="143"/>
    </row>
    <row r="296" spans="3:6" x14ac:dyDescent="0.3">
      <c r="C296" s="144"/>
      <c r="D296" s="106"/>
      <c r="E296" s="106"/>
      <c r="F296" s="143"/>
    </row>
    <row r="297" spans="3:6" x14ac:dyDescent="0.3">
      <c r="C297" s="144"/>
      <c r="D297" s="106"/>
      <c r="E297" s="106"/>
      <c r="F297" s="143"/>
    </row>
    <row r="298" spans="3:6" x14ac:dyDescent="0.3">
      <c r="C298" s="144"/>
      <c r="D298" s="106"/>
      <c r="E298" s="106"/>
      <c r="F298" s="143"/>
    </row>
    <row r="299" spans="3:6" x14ac:dyDescent="0.3">
      <c r="C299" s="144"/>
      <c r="D299" s="106"/>
      <c r="E299" s="106"/>
      <c r="F299" s="143"/>
    </row>
    <row r="300" spans="3:6" x14ac:dyDescent="0.3">
      <c r="C300" s="144"/>
      <c r="D300" s="106"/>
      <c r="E300" s="106"/>
      <c r="F300" s="143"/>
    </row>
    <row r="301" spans="3:6" x14ac:dyDescent="0.3">
      <c r="C301" s="144"/>
      <c r="D301" s="106"/>
      <c r="E301" s="106"/>
      <c r="F301" s="143"/>
    </row>
    <row r="302" spans="3:6" x14ac:dyDescent="0.3">
      <c r="C302" s="144"/>
      <c r="D302" s="106"/>
      <c r="E302" s="106"/>
      <c r="F302" s="143"/>
    </row>
    <row r="303" spans="3:6" x14ac:dyDescent="0.3">
      <c r="C303" s="144"/>
      <c r="D303" s="106"/>
      <c r="E303" s="106"/>
      <c r="F303" s="143"/>
    </row>
    <row r="304" spans="3:6" x14ac:dyDescent="0.3">
      <c r="C304" s="144"/>
      <c r="D304" s="106"/>
      <c r="E304" s="106"/>
      <c r="F304" s="143"/>
    </row>
    <row r="305" spans="3:6" x14ac:dyDescent="0.3">
      <c r="C305" s="142"/>
      <c r="D305" s="141"/>
      <c r="E305" s="141"/>
      <c r="F305" s="140"/>
    </row>
    <row r="306" spans="3:6" x14ac:dyDescent="0.3">
      <c r="C306" s="142"/>
      <c r="D306" s="141"/>
      <c r="E306" s="141"/>
      <c r="F306" s="140"/>
    </row>
    <row r="307" spans="3:6" x14ac:dyDescent="0.3">
      <c r="C307" s="142"/>
      <c r="D307" s="141"/>
      <c r="E307" s="141"/>
      <c r="F307" s="140"/>
    </row>
    <row r="308" spans="3:6" x14ac:dyDescent="0.3">
      <c r="C308" s="142"/>
      <c r="D308" s="141"/>
      <c r="E308" s="141"/>
      <c r="F308" s="140"/>
    </row>
    <row r="309" spans="3:6" x14ac:dyDescent="0.3">
      <c r="C309" s="142"/>
      <c r="D309" s="141"/>
      <c r="E309" s="141"/>
      <c r="F309" s="140"/>
    </row>
    <row r="310" spans="3:6" x14ac:dyDescent="0.3">
      <c r="C310" s="142"/>
      <c r="D310" s="141"/>
      <c r="E310" s="141"/>
      <c r="F310" s="140"/>
    </row>
    <row r="311" spans="3:6" x14ac:dyDescent="0.3">
      <c r="C311" s="142"/>
      <c r="D311" s="141"/>
      <c r="E311" s="141"/>
      <c r="F311" s="140"/>
    </row>
    <row r="312" spans="3:6" x14ac:dyDescent="0.3">
      <c r="C312" s="142"/>
      <c r="D312" s="141"/>
      <c r="E312" s="141"/>
      <c r="F312" s="140"/>
    </row>
    <row r="313" spans="3:6" x14ac:dyDescent="0.3">
      <c r="C313" s="142"/>
      <c r="D313" s="141"/>
      <c r="E313" s="141"/>
      <c r="F313" s="140"/>
    </row>
    <row r="314" spans="3:6" x14ac:dyDescent="0.3">
      <c r="C314" s="142"/>
      <c r="D314" s="141"/>
      <c r="E314" s="141"/>
      <c r="F314" s="140"/>
    </row>
    <row r="315" spans="3:6" x14ac:dyDescent="0.3">
      <c r="C315" s="142"/>
      <c r="D315" s="141"/>
      <c r="E315" s="141"/>
      <c r="F315" s="140"/>
    </row>
    <row r="316" spans="3:6" x14ac:dyDescent="0.3">
      <c r="C316" s="142"/>
      <c r="D316" s="141"/>
      <c r="E316" s="141"/>
      <c r="F316" s="140"/>
    </row>
    <row r="317" spans="3:6" x14ac:dyDescent="0.3">
      <c r="C317" s="142"/>
      <c r="D317" s="141"/>
      <c r="E317" s="141"/>
      <c r="F317" s="140"/>
    </row>
    <row r="318" spans="3:6" x14ac:dyDescent="0.3">
      <c r="C318" s="142"/>
      <c r="D318" s="141"/>
      <c r="E318" s="141"/>
      <c r="F318" s="140"/>
    </row>
    <row r="319" spans="3:6" x14ac:dyDescent="0.3">
      <c r="C319" s="142"/>
      <c r="D319" s="141"/>
      <c r="E319" s="141"/>
      <c r="F319" s="140"/>
    </row>
    <row r="320" spans="3:6" x14ac:dyDescent="0.3">
      <c r="C320" s="142"/>
      <c r="D320" s="141"/>
      <c r="E320" s="141"/>
      <c r="F320" s="140"/>
    </row>
  </sheetData>
  <sortState xmlns:xlrd2="http://schemas.microsoft.com/office/spreadsheetml/2017/richdata2" ref="A21:I105">
    <sortCondition descending="1" ref="G21:G105"/>
  </sortState>
  <mergeCells count="28"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F19:F20"/>
    <mergeCell ref="A16:B16"/>
    <mergeCell ref="C16:D16"/>
    <mergeCell ref="G16:H16"/>
    <mergeCell ref="I16:J16"/>
    <mergeCell ref="A18:J18"/>
    <mergeCell ref="I15:J15"/>
    <mergeCell ref="C14:D14"/>
    <mergeCell ref="A9:B9"/>
    <mergeCell ref="A10:B10"/>
    <mergeCell ref="A11:B11"/>
    <mergeCell ref="A12:B12"/>
    <mergeCell ref="A14:B14"/>
    <mergeCell ref="G14:H14"/>
    <mergeCell ref="I14:J14"/>
    <mergeCell ref="A15:B15"/>
    <mergeCell ref="C15:D15"/>
    <mergeCell ref="G15:H15"/>
    <mergeCell ref="C12:F13"/>
  </mergeCells>
  <conditionalFormatting sqref="J21:J23 J25:J97">
    <cfRule type="cellIs" dxfId="29" priority="46" operator="equal">
      <formula>"C"</formula>
    </cfRule>
    <cfRule type="cellIs" dxfId="28" priority="47" operator="equal">
      <formula>"B"</formula>
    </cfRule>
    <cfRule type="cellIs" dxfId="27" priority="48" operator="equal">
      <formula>"A"</formula>
    </cfRule>
  </conditionalFormatting>
  <conditionalFormatting sqref="J98">
    <cfRule type="cellIs" dxfId="26" priority="25" operator="equal">
      <formula>"C"</formula>
    </cfRule>
    <cfRule type="cellIs" dxfId="25" priority="26" operator="equal">
      <formula>"B"</formula>
    </cfRule>
    <cfRule type="cellIs" dxfId="24" priority="27" operator="equal">
      <formula>"A"</formula>
    </cfRule>
  </conditionalFormatting>
  <conditionalFormatting sqref="J99">
    <cfRule type="cellIs" dxfId="23" priority="22" operator="equal">
      <formula>"C"</formula>
    </cfRule>
    <cfRule type="cellIs" dxfId="22" priority="23" operator="equal">
      <formula>"B"</formula>
    </cfRule>
    <cfRule type="cellIs" dxfId="21" priority="24" operator="equal">
      <formula>"A"</formula>
    </cfRule>
  </conditionalFormatting>
  <conditionalFormatting sqref="J100">
    <cfRule type="cellIs" dxfId="20" priority="19" operator="equal">
      <formula>"C"</formula>
    </cfRule>
    <cfRule type="cellIs" dxfId="19" priority="20" operator="equal">
      <formula>"B"</formula>
    </cfRule>
    <cfRule type="cellIs" dxfId="18" priority="21" operator="equal">
      <formula>"A"</formula>
    </cfRule>
  </conditionalFormatting>
  <conditionalFormatting sqref="J101">
    <cfRule type="cellIs" dxfId="17" priority="16" operator="equal">
      <formula>"C"</formula>
    </cfRule>
    <cfRule type="cellIs" dxfId="16" priority="17" operator="equal">
      <formula>"B"</formula>
    </cfRule>
    <cfRule type="cellIs" dxfId="15" priority="18" operator="equal">
      <formula>"A"</formula>
    </cfRule>
  </conditionalFormatting>
  <conditionalFormatting sqref="J102">
    <cfRule type="cellIs" dxfId="14" priority="13" operator="equal">
      <formula>"C"</formula>
    </cfRule>
    <cfRule type="cellIs" dxfId="13" priority="14" operator="equal">
      <formula>"B"</formula>
    </cfRule>
    <cfRule type="cellIs" dxfId="12" priority="15" operator="equal">
      <formula>"A"</formula>
    </cfRule>
  </conditionalFormatting>
  <conditionalFormatting sqref="J103">
    <cfRule type="cellIs" dxfId="11" priority="10" operator="equal">
      <formula>"C"</formula>
    </cfRule>
    <cfRule type="cellIs" dxfId="10" priority="11" operator="equal">
      <formula>"B"</formula>
    </cfRule>
    <cfRule type="cellIs" dxfId="9" priority="12" operator="equal">
      <formula>"A"</formula>
    </cfRule>
  </conditionalFormatting>
  <conditionalFormatting sqref="J104">
    <cfRule type="cellIs" dxfId="8" priority="7" operator="equal">
      <formula>"C"</formula>
    </cfRule>
    <cfRule type="cellIs" dxfId="7" priority="8" operator="equal">
      <formula>"B"</formula>
    </cfRule>
    <cfRule type="cellIs" dxfId="6" priority="9" operator="equal">
      <formula>"A"</formula>
    </cfRule>
  </conditionalFormatting>
  <conditionalFormatting sqref="J105">
    <cfRule type="cellIs" dxfId="5" priority="4" operator="equal">
      <formula>"C"</formula>
    </cfRule>
    <cfRule type="cellIs" dxfId="4" priority="5" operator="equal">
      <formula>"B"</formula>
    </cfRule>
    <cfRule type="cellIs" dxfId="3" priority="6" operator="equal">
      <formula>"A"</formula>
    </cfRule>
  </conditionalFormatting>
  <conditionalFormatting sqref="J24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rintOptions horizontalCentered="1"/>
  <pageMargins left="0.19685039370078741" right="0.19685039370078741" top="0.19685039370078741" bottom="0.39370078740157483" header="0.19685039370078741" footer="0.19685039370078741"/>
  <pageSetup paperSize="9" scale="59" fitToHeight="0" orientation="portrait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8"/>
  <sheetViews>
    <sheetView showGridLines="0" showWhiteSpace="0" view="pageBreakPreview" topLeftCell="A10" zoomScaleNormal="100" zoomScaleSheetLayoutView="100" zoomScalePageLayoutView="85" workbookViewId="0">
      <selection activeCell="D20" sqref="D20"/>
    </sheetView>
  </sheetViews>
  <sheetFormatPr defaultColWidth="9.109375" defaultRowHeight="13.8" x14ac:dyDescent="0.3"/>
  <cols>
    <col min="1" max="1" width="13.6640625" style="1" bestFit="1" customWidth="1"/>
    <col min="2" max="2" width="9.109375" style="1"/>
    <col min="3" max="3" width="14.33203125" style="1" customWidth="1"/>
    <col min="4" max="4" width="66" style="1" customWidth="1"/>
    <col min="5" max="5" width="13.109375" style="1" customWidth="1"/>
    <col min="6" max="6" width="9.109375" style="1"/>
    <col min="7" max="7" width="13.5546875" style="1" bestFit="1" customWidth="1"/>
    <col min="8" max="8" width="15.6640625" style="29" bestFit="1" customWidth="1"/>
    <col min="9" max="9" width="16.109375" style="29" customWidth="1"/>
    <col min="10" max="16384" width="9.109375" style="1"/>
  </cols>
  <sheetData>
    <row r="1" spans="1:9" x14ac:dyDescent="0.3">
      <c r="A1" s="17"/>
      <c r="B1" s="18"/>
      <c r="C1" s="18"/>
      <c r="D1" s="18"/>
      <c r="E1" s="18"/>
      <c r="F1" s="18"/>
      <c r="G1" s="18"/>
      <c r="H1" s="26"/>
      <c r="I1" s="54"/>
    </row>
    <row r="2" spans="1:9" x14ac:dyDescent="0.3">
      <c r="A2" s="21"/>
      <c r="B2" s="20"/>
      <c r="C2" s="20"/>
      <c r="D2" s="20"/>
      <c r="E2" s="20"/>
      <c r="F2" s="20"/>
      <c r="G2" s="20"/>
      <c r="H2" s="27"/>
      <c r="I2" s="55"/>
    </row>
    <row r="3" spans="1:9" x14ac:dyDescent="0.3">
      <c r="A3" s="21"/>
      <c r="B3" s="20"/>
      <c r="C3" s="20"/>
      <c r="D3" s="20"/>
      <c r="E3" s="20"/>
      <c r="F3" s="20"/>
      <c r="G3" s="20"/>
      <c r="H3" s="27"/>
      <c r="I3" s="55"/>
    </row>
    <row r="4" spans="1:9" x14ac:dyDescent="0.3">
      <c r="A4" s="21"/>
      <c r="B4" s="20"/>
      <c r="C4" s="20"/>
      <c r="D4" s="20"/>
      <c r="E4" s="20"/>
      <c r="F4" s="20"/>
      <c r="G4" s="20"/>
      <c r="H4" s="27"/>
      <c r="I4" s="55"/>
    </row>
    <row r="5" spans="1:9" x14ac:dyDescent="0.3">
      <c r="A5" s="21"/>
      <c r="B5" s="20"/>
      <c r="C5" s="20"/>
      <c r="D5" s="20"/>
      <c r="E5" s="20"/>
      <c r="F5" s="20"/>
      <c r="G5" s="20"/>
      <c r="H5" s="27"/>
      <c r="I5" s="55"/>
    </row>
    <row r="6" spans="1:9" x14ac:dyDescent="0.3">
      <c r="A6" s="21"/>
      <c r="B6" s="20"/>
      <c r="C6" s="20"/>
      <c r="D6" s="20"/>
      <c r="E6" s="20"/>
      <c r="F6" s="20"/>
      <c r="G6" s="20"/>
      <c r="H6" s="27"/>
      <c r="I6" s="55"/>
    </row>
    <row r="7" spans="1:9" x14ac:dyDescent="0.3">
      <c r="A7" s="21"/>
      <c r="B7" s="20"/>
      <c r="C7" s="20"/>
      <c r="D7" s="20"/>
      <c r="E7" s="20"/>
      <c r="F7" s="20"/>
      <c r="G7" s="20"/>
      <c r="H7" s="27"/>
      <c r="I7" s="55"/>
    </row>
    <row r="8" spans="1:9" ht="14.4" thickBot="1" x14ac:dyDescent="0.35">
      <c r="A8" s="21"/>
      <c r="B8" s="20"/>
      <c r="C8" s="20"/>
      <c r="D8" s="20"/>
      <c r="E8" s="20"/>
      <c r="F8" s="20"/>
      <c r="G8" s="20"/>
      <c r="H8" s="27"/>
      <c r="I8" s="55"/>
    </row>
    <row r="9" spans="1:9" x14ac:dyDescent="0.3">
      <c r="A9" s="31" t="str">
        <f>CAPA!A10</f>
        <v>OBRA:</v>
      </c>
      <c r="B9" s="319" t="str">
        <f>CAPA!D10</f>
        <v>INSTALAÇÕES ELÉTRICAS/LÓGICAS</v>
      </c>
      <c r="C9" s="319"/>
      <c r="D9" s="319"/>
      <c r="E9" s="32" t="str">
        <f>CAPA!A20</f>
        <v>BDI (SERVIÇOS):</v>
      </c>
      <c r="F9" s="33">
        <f>CAPA!D20</f>
        <v>0.28347674918197008</v>
      </c>
      <c r="G9" s="34"/>
      <c r="H9" s="35" t="str">
        <f>CAPA!C23</f>
        <v>REVISÃO:</v>
      </c>
      <c r="I9" s="56" t="str">
        <f>CAPA!D23</f>
        <v>REV04</v>
      </c>
    </row>
    <row r="10" spans="1:9" x14ac:dyDescent="0.3">
      <c r="A10" s="36" t="str">
        <f>CAPA!A11</f>
        <v>PROPRIETÁRIO:</v>
      </c>
      <c r="B10" s="46" t="str">
        <f>CAPA!D11</f>
        <v>SENAR/MT</v>
      </c>
      <c r="C10" s="46"/>
      <c r="D10" s="46"/>
      <c r="E10" s="37" t="str">
        <f>CAPA!A21</f>
        <v>BDI (EQUIPAMENTOS):</v>
      </c>
      <c r="F10" s="38">
        <f>CAPA!D21</f>
        <v>0.19073600489929232</v>
      </c>
      <c r="G10" s="39"/>
      <c r="H10" s="30" t="str">
        <f>RESUMO!G15</f>
        <v>DATA BASE:</v>
      </c>
      <c r="I10" s="86" t="str">
        <f>CAPA!I20</f>
        <v>JAN/2022</v>
      </c>
    </row>
    <row r="11" spans="1:9" x14ac:dyDescent="0.3">
      <c r="A11" s="36" t="str">
        <f>CAPA!A12</f>
        <v>MUNICÍPIO:</v>
      </c>
      <c r="B11" s="320" t="str">
        <f>CAPA!D12</f>
        <v>Cuiabá/MT</v>
      </c>
      <c r="C11" s="320"/>
      <c r="D11" s="202"/>
      <c r="E11" s="37" t="str">
        <f>CAPA!A22</f>
        <v>REFERÊNCIA:</v>
      </c>
      <c r="F11" s="38" t="str">
        <f>CAPA!D22</f>
        <v>SINAPI-MT</v>
      </c>
      <c r="G11" s="39"/>
      <c r="H11" s="30" t="str">
        <f>CAPA!F22</f>
        <v>ENCARGOS:</v>
      </c>
      <c r="I11" s="57" t="str">
        <f>CAPA!I22</f>
        <v>Desonerado</v>
      </c>
    </row>
    <row r="12" spans="1:9" x14ac:dyDescent="0.3">
      <c r="A12" s="36" t="str">
        <f>CAPA!A13</f>
        <v>ENDEREÇO:</v>
      </c>
      <c r="B12" s="46" t="str">
        <f>CAPA!D13</f>
        <v xml:space="preserve">Rua Eng. Edgard Prado Arze, S/N , Quadra 01 - Setor A, Centro Político Administrativo
</v>
      </c>
      <c r="C12" s="46"/>
      <c r="D12" s="46"/>
      <c r="E12" s="37" t="str">
        <f>CAPA!F20</f>
        <v>DATA BASE DO ORÇAMENTO:</v>
      </c>
      <c r="F12" s="40" t="str">
        <f>CAPA!D23</f>
        <v>REV04</v>
      </c>
      <c r="G12" s="46"/>
      <c r="H12" s="320"/>
      <c r="I12" s="325"/>
    </row>
    <row r="13" spans="1:9" ht="14.4" thickBot="1" x14ac:dyDescent="0.35">
      <c r="A13" s="21"/>
      <c r="B13" s="20"/>
      <c r="C13" s="20"/>
      <c r="D13" s="20"/>
      <c r="E13" s="20"/>
      <c r="F13" s="20"/>
      <c r="G13" s="20"/>
      <c r="H13" s="27"/>
      <c r="I13" s="55"/>
    </row>
    <row r="14" spans="1:9" ht="21.6" thickBot="1" x14ac:dyDescent="0.35">
      <c r="A14" s="321" t="s">
        <v>10</v>
      </c>
      <c r="B14" s="322"/>
      <c r="C14" s="322"/>
      <c r="D14" s="322"/>
      <c r="E14" s="322"/>
      <c r="F14" s="322"/>
      <c r="G14" s="322"/>
      <c r="H14" s="322"/>
      <c r="I14" s="323"/>
    </row>
    <row r="15" spans="1:9" ht="21.6" thickBot="1" x14ac:dyDescent="0.35">
      <c r="A15" s="59"/>
      <c r="B15" s="47"/>
      <c r="C15" s="47"/>
      <c r="D15" s="47"/>
      <c r="E15" s="47"/>
      <c r="F15" s="47"/>
      <c r="G15" s="47"/>
      <c r="H15" s="47"/>
      <c r="I15" s="60"/>
    </row>
    <row r="16" spans="1:9" x14ac:dyDescent="0.3">
      <c r="A16" s="286" t="s">
        <v>2</v>
      </c>
      <c r="B16" s="287" t="s">
        <v>27</v>
      </c>
      <c r="C16" s="287" t="s">
        <v>28</v>
      </c>
      <c r="D16" s="287" t="s">
        <v>3</v>
      </c>
      <c r="E16" s="287" t="s">
        <v>13</v>
      </c>
      <c r="F16" s="287" t="s">
        <v>9</v>
      </c>
      <c r="G16" s="287" t="s">
        <v>29</v>
      </c>
      <c r="H16" s="324" t="s">
        <v>30</v>
      </c>
      <c r="I16" s="289" t="s">
        <v>31</v>
      </c>
    </row>
    <row r="17" spans="1:9" ht="14.4" thickBot="1" x14ac:dyDescent="0.35">
      <c r="A17" s="310"/>
      <c r="B17" s="312"/>
      <c r="C17" s="312"/>
      <c r="D17" s="312"/>
      <c r="E17" s="312"/>
      <c r="F17" s="312"/>
      <c r="G17" s="312"/>
      <c r="H17" s="314"/>
      <c r="I17" s="308"/>
    </row>
    <row r="18" spans="1:9" ht="14.4" thickBot="1" x14ac:dyDescent="0.35">
      <c r="A18" s="67"/>
      <c r="B18" s="65"/>
      <c r="C18" s="65"/>
      <c r="D18" s="65"/>
      <c r="E18" s="65"/>
      <c r="F18" s="65"/>
      <c r="G18" s="65"/>
      <c r="H18" s="42"/>
      <c r="I18" s="61"/>
    </row>
    <row r="19" spans="1:9" x14ac:dyDescent="0.3">
      <c r="A19" s="121">
        <v>1</v>
      </c>
      <c r="B19" s="203"/>
      <c r="C19" s="203"/>
      <c r="D19" s="203" t="s">
        <v>72</v>
      </c>
      <c r="E19" s="203"/>
      <c r="F19" s="315" t="s">
        <v>32</v>
      </c>
      <c r="G19" s="315"/>
      <c r="H19" s="315"/>
      <c r="I19" s="122">
        <f>SUM(I20:I22)</f>
        <v>54343.509999999995</v>
      </c>
    </row>
    <row r="20" spans="1:9" x14ac:dyDescent="0.3">
      <c r="A20" s="100" t="s">
        <v>93</v>
      </c>
      <c r="B20" s="83" t="s">
        <v>23</v>
      </c>
      <c r="C20" s="161" t="str">
        <f>HYPERLINK("#COMPOSIÇÃO!A29",COMPOSIÇÃO!A19)</f>
        <v>COMPOSIÇÃO 1</v>
      </c>
      <c r="D20" s="81" t="str">
        <f>COMPOSIÇÃO!D19</f>
        <v>PLACA DE OBRA EM CHAPA DE ACO GALVANIZADO (1,50 X 1,50 M)</v>
      </c>
      <c r="E20" s="93" t="s">
        <v>536</v>
      </c>
      <c r="F20" s="91">
        <f>1.5*1.5</f>
        <v>2.25</v>
      </c>
      <c r="G20" s="96">
        <f>COMPOSIÇÃO!H19</f>
        <v>320.72000000000003</v>
      </c>
      <c r="H20" s="48">
        <f t="shared" ref="H20:H22" si="0">TRUNC(G20*(1+$F$9),2)</f>
        <v>411.63</v>
      </c>
      <c r="I20" s="50">
        <f t="shared" ref="I20:I22" si="1">TRUNC(H20*F20,2)</f>
        <v>926.16</v>
      </c>
    </row>
    <row r="21" spans="1:9" ht="27.6" x14ac:dyDescent="0.3">
      <c r="A21" s="100" t="s">
        <v>170</v>
      </c>
      <c r="B21" s="93" t="s">
        <v>78</v>
      </c>
      <c r="C21" s="83" t="s">
        <v>79</v>
      </c>
      <c r="D21" s="81" t="s">
        <v>173</v>
      </c>
      <c r="E21" s="93" t="s">
        <v>13</v>
      </c>
      <c r="F21" s="91">
        <v>1</v>
      </c>
      <c r="G21" s="96">
        <v>233.94</v>
      </c>
      <c r="H21" s="48">
        <f t="shared" si="0"/>
        <v>300.25</v>
      </c>
      <c r="I21" s="50">
        <f t="shared" si="1"/>
        <v>300.25</v>
      </c>
    </row>
    <row r="22" spans="1:9" ht="14.4" thickBot="1" x14ac:dyDescent="0.35">
      <c r="A22" s="114" t="s">
        <v>117</v>
      </c>
      <c r="B22" s="119" t="s">
        <v>23</v>
      </c>
      <c r="C22" s="162" t="str">
        <f>HYPERLINK("#COMPOSIÇÃO!A39",COMPOSIÇÃO!A29)</f>
        <v>COMPOSIÇÃO 2</v>
      </c>
      <c r="D22" s="120" t="str">
        <f>COMPOSIÇÃO!D29</f>
        <v>ADMINISTRAÇÃO DE OBRAS</v>
      </c>
      <c r="E22" s="119" t="s">
        <v>107</v>
      </c>
      <c r="F22" s="124">
        <v>3</v>
      </c>
      <c r="G22" s="115">
        <f>COMPOSIÇÃO!H29</f>
        <v>13795.11</v>
      </c>
      <c r="H22" s="51">
        <f t="shared" si="0"/>
        <v>17705.7</v>
      </c>
      <c r="I22" s="52">
        <f t="shared" si="1"/>
        <v>53117.1</v>
      </c>
    </row>
    <row r="23" spans="1:9" ht="14.4" thickBot="1" x14ac:dyDescent="0.35">
      <c r="A23" s="110"/>
      <c r="B23" s="89"/>
      <c r="C23" s="89"/>
      <c r="D23" s="90"/>
      <c r="E23" s="88"/>
      <c r="F23" s="92"/>
      <c r="G23" s="111"/>
      <c r="H23" s="27"/>
      <c r="I23" s="55"/>
    </row>
    <row r="24" spans="1:9" x14ac:dyDescent="0.3">
      <c r="A24" s="121">
        <v>2</v>
      </c>
      <c r="B24" s="203"/>
      <c r="C24" s="203"/>
      <c r="D24" s="200" t="s">
        <v>188</v>
      </c>
      <c r="E24" s="203"/>
      <c r="F24" s="316" t="s">
        <v>32</v>
      </c>
      <c r="G24" s="316"/>
      <c r="H24" s="316"/>
      <c r="I24" s="122">
        <f>SUM(I25,I38,I44)</f>
        <v>533618.0199999999</v>
      </c>
    </row>
    <row r="25" spans="1:9" x14ac:dyDescent="0.3">
      <c r="A25" s="205" t="s">
        <v>113</v>
      </c>
      <c r="B25" s="204"/>
      <c r="C25" s="204"/>
      <c r="D25" s="204" t="s">
        <v>216</v>
      </c>
      <c r="E25" s="204"/>
      <c r="F25" s="317" t="s">
        <v>32</v>
      </c>
      <c r="G25" s="317"/>
      <c r="H25" s="317"/>
      <c r="I25" s="207">
        <f>SUM(I26:I37)</f>
        <v>78147.330000000016</v>
      </c>
    </row>
    <row r="26" spans="1:9" ht="27.6" x14ac:dyDescent="0.3">
      <c r="A26" s="100" t="s">
        <v>366</v>
      </c>
      <c r="B26" s="83" t="s">
        <v>23</v>
      </c>
      <c r="C26" s="161" t="str">
        <f>COMPOSIÇÃO!A33</f>
        <v>COMPOSIÇÃO 3</v>
      </c>
      <c r="D26" s="81" t="str">
        <f>COMPOSIÇÃO!D33</f>
        <v>RACK DE PAREDE 19" 16U X 570MM FECHADO, PORTA ACRÍLICO - FORNECIMENTO E INSTALAÇÃO</v>
      </c>
      <c r="E26" s="93" t="str">
        <f>COMPOSIÇÃO!E33</f>
        <v>UN</v>
      </c>
      <c r="F26" s="91">
        <v>5</v>
      </c>
      <c r="G26" s="96">
        <f>COMPOSIÇÃO!H33</f>
        <v>1272.8199999999997</v>
      </c>
      <c r="H26" s="48">
        <f t="shared" ref="H26:H94" si="2">TRUNC(G26*(1+$F$9),2)</f>
        <v>1633.63</v>
      </c>
      <c r="I26" s="50">
        <f t="shared" ref="I26:I94" si="3">TRUNC(H26*F26,2)</f>
        <v>8168.15</v>
      </c>
    </row>
    <row r="27" spans="1:9" ht="27.6" x14ac:dyDescent="0.3">
      <c r="A27" s="100" t="s">
        <v>367</v>
      </c>
      <c r="B27" s="83" t="s">
        <v>23</v>
      </c>
      <c r="C27" s="161" t="str">
        <f>COMPOSIÇÃO!A40</f>
        <v>COMPOSIÇÃO 4</v>
      </c>
      <c r="D27" s="81" t="str">
        <f>COMPOSIÇÃO!D40</f>
        <v>RACK DE PISO 19" - PORTA ACRÍLICO - 22U X 670MM - FORNECIMENTO E INSTALAÇÃO</v>
      </c>
      <c r="E27" s="93" t="str">
        <f>COMPOSIÇÃO!E40</f>
        <v>UN</v>
      </c>
      <c r="F27" s="91">
        <v>1</v>
      </c>
      <c r="G27" s="96">
        <f>COMPOSIÇÃO!H40</f>
        <v>2329.9500000000003</v>
      </c>
      <c r="H27" s="48">
        <f t="shared" si="2"/>
        <v>2990.43</v>
      </c>
      <c r="I27" s="50">
        <f t="shared" si="3"/>
        <v>2990.43</v>
      </c>
    </row>
    <row r="28" spans="1:9" ht="27.6" x14ac:dyDescent="0.3">
      <c r="A28" s="100" t="s">
        <v>368</v>
      </c>
      <c r="B28" s="83" t="s">
        <v>23</v>
      </c>
      <c r="C28" s="161" t="str">
        <f>COMPOSIÇÃO!A47</f>
        <v>COMPOSIÇÃO 5</v>
      </c>
      <c r="D28" s="81" t="str">
        <f>COMPOSIÇÃO!D47</f>
        <v>RACK DE PISO 19" - PORTA ACRÍLICO - 44U X 670MM - FORNECIMENTO E INSTALAÇÃO</v>
      </c>
      <c r="E28" s="93" t="str">
        <f>COMPOSIÇÃO!E47</f>
        <v>UN</v>
      </c>
      <c r="F28" s="91">
        <v>2</v>
      </c>
      <c r="G28" s="96">
        <f>COMPOSIÇÃO!H47</f>
        <v>3608.4400000000005</v>
      </c>
      <c r="H28" s="48">
        <f t="shared" si="2"/>
        <v>4631.34</v>
      </c>
      <c r="I28" s="50">
        <f t="shared" si="3"/>
        <v>9262.68</v>
      </c>
    </row>
    <row r="29" spans="1:9" x14ac:dyDescent="0.3">
      <c r="A29" s="100" t="s">
        <v>369</v>
      </c>
      <c r="B29" s="83" t="s">
        <v>23</v>
      </c>
      <c r="C29" s="161" t="str">
        <f>COMPOSIÇÃO!A54</f>
        <v>COMPOSIÇÃO 6</v>
      </c>
      <c r="D29" s="81" t="str">
        <f>COMPOSIÇÃO!D54</f>
        <v>RACK DE PISO 19" - ABERTO - 44U X 450MM - FORNECIMENTO E INSTALAÇÃO</v>
      </c>
      <c r="E29" s="93" t="str">
        <f>COMPOSIÇÃO!E430</f>
        <v>UN</v>
      </c>
      <c r="F29" s="91">
        <v>2</v>
      </c>
      <c r="G29" s="48">
        <f>COMPOSIÇÃO!H54</f>
        <v>3563.5800000000004</v>
      </c>
      <c r="H29" s="48">
        <f t="shared" ref="H29" si="4">TRUNC(G29*(1+$F$9),2)</f>
        <v>4573.7700000000004</v>
      </c>
      <c r="I29" s="48">
        <f t="shared" ref="I29" si="5">TRUNC(H29*F29,2)</f>
        <v>9147.5400000000009</v>
      </c>
    </row>
    <row r="30" spans="1:9" ht="27.6" x14ac:dyDescent="0.3">
      <c r="A30" s="100" t="s">
        <v>370</v>
      </c>
      <c r="B30" s="83" t="s">
        <v>23</v>
      </c>
      <c r="C30" s="161" t="str">
        <f>COMPOSIÇÃO!A60</f>
        <v>COMPOSIÇÃO 7</v>
      </c>
      <c r="D30" s="81" t="str">
        <f>COMPOSIÇÃO!D60</f>
        <v>RÉGUA DE TOMADAS COM 10 TOMADAS PADRÃO BRASILEIRO PRETA - FORNECIMENTO E INSTALAÇÃO</v>
      </c>
      <c r="E30" s="93" t="str">
        <f>COMPOSIÇÃO!E60</f>
        <v>UN</v>
      </c>
      <c r="F30" s="91">
        <v>8</v>
      </c>
      <c r="G30" s="96">
        <f>COMPOSIÇÃO!H60</f>
        <v>85.330000000000013</v>
      </c>
      <c r="H30" s="48">
        <f t="shared" si="2"/>
        <v>109.51</v>
      </c>
      <c r="I30" s="50">
        <f t="shared" si="3"/>
        <v>876.08</v>
      </c>
    </row>
    <row r="31" spans="1:9" ht="27.6" x14ac:dyDescent="0.3">
      <c r="A31" s="100" t="s">
        <v>371</v>
      </c>
      <c r="B31" s="83" t="s">
        <v>23</v>
      </c>
      <c r="C31" s="161" t="str">
        <f>COMPOSIÇÃO!A66</f>
        <v>COMPOSIÇÃO 8</v>
      </c>
      <c r="D31" s="81" t="str">
        <f>COMPOSIÇÃO!D66</f>
        <v>GUIA DE CABOS FECHADO HORIZONTAL 19"X1U PRETO - FORNECIMENTO E INSTALAÇÃO</v>
      </c>
      <c r="E31" s="93" t="str">
        <f>COMPOSIÇÃO!E66</f>
        <v>UN</v>
      </c>
      <c r="F31" s="91">
        <v>39</v>
      </c>
      <c r="G31" s="96">
        <f>COMPOSIÇÃO!H66</f>
        <v>35.26</v>
      </c>
      <c r="H31" s="48">
        <f t="shared" si="2"/>
        <v>45.25</v>
      </c>
      <c r="I31" s="50">
        <f t="shared" si="3"/>
        <v>1764.75</v>
      </c>
    </row>
    <row r="32" spans="1:9" ht="27.6" x14ac:dyDescent="0.3">
      <c r="A32" s="100" t="s">
        <v>372</v>
      </c>
      <c r="B32" s="83" t="s">
        <v>23</v>
      </c>
      <c r="C32" s="161" t="str">
        <f>COMPOSIÇÃO!A72</f>
        <v>COMPOSIÇÃO 9</v>
      </c>
      <c r="D32" s="81" t="str">
        <f>COMPOSIÇÃO!D72</f>
        <v>BANDEJA ESTENDIDA - 1U - GABINETE PADRÃO 19" - FORNECIMENTO E INSTALAÇÃO</v>
      </c>
      <c r="E32" s="93" t="str">
        <f>COMPOSIÇÃO!E72</f>
        <v>UN</v>
      </c>
      <c r="F32" s="91">
        <v>4</v>
      </c>
      <c r="G32" s="96">
        <f>COMPOSIÇÃO!H72</f>
        <v>78.06</v>
      </c>
      <c r="H32" s="48">
        <f t="shared" si="2"/>
        <v>100.18</v>
      </c>
      <c r="I32" s="50">
        <f t="shared" si="3"/>
        <v>400.72</v>
      </c>
    </row>
    <row r="33" spans="1:9" ht="27.6" x14ac:dyDescent="0.3">
      <c r="A33" s="100" t="s">
        <v>373</v>
      </c>
      <c r="B33" s="83" t="s">
        <v>23</v>
      </c>
      <c r="C33" s="161" t="str">
        <f>COMPOSIÇÃO!A78</f>
        <v>COMPOSIÇÃO 10</v>
      </c>
      <c r="D33" s="81" t="str">
        <f>COMPOSIÇÃO!D78</f>
        <v>PLACA DE FECHAMENTO CEGA - 1U - GABINETE PADRÃO 19" - FORNECIMENTO E INSTALAÇÃO</v>
      </c>
      <c r="E33" s="93" t="str">
        <f>COMPOSIÇÃO!E78</f>
        <v>UN</v>
      </c>
      <c r="F33" s="91">
        <v>65</v>
      </c>
      <c r="G33" s="96">
        <f>COMPOSIÇÃO!H78</f>
        <v>15.41</v>
      </c>
      <c r="H33" s="48">
        <f t="shared" si="2"/>
        <v>19.77</v>
      </c>
      <c r="I33" s="50">
        <f t="shared" si="3"/>
        <v>1285.05</v>
      </c>
    </row>
    <row r="34" spans="1:9" ht="27.6" x14ac:dyDescent="0.3">
      <c r="A34" s="100" t="s">
        <v>487</v>
      </c>
      <c r="B34" s="83" t="s">
        <v>23</v>
      </c>
      <c r="C34" s="148" t="s">
        <v>203</v>
      </c>
      <c r="D34" s="81" t="s">
        <v>362</v>
      </c>
      <c r="E34" s="93" t="s">
        <v>13</v>
      </c>
      <c r="F34" s="91">
        <v>36</v>
      </c>
      <c r="G34" s="96">
        <v>675.46</v>
      </c>
      <c r="H34" s="48">
        <f t="shared" si="2"/>
        <v>866.93</v>
      </c>
      <c r="I34" s="50">
        <f t="shared" si="3"/>
        <v>31209.48</v>
      </c>
    </row>
    <row r="35" spans="1:9" ht="27.6" x14ac:dyDescent="0.3">
      <c r="A35" s="100" t="s">
        <v>488</v>
      </c>
      <c r="B35" s="83" t="s">
        <v>23</v>
      </c>
      <c r="C35" s="161" t="str">
        <f>COMPOSIÇÃO!A84</f>
        <v>COMPOSIÇÃO 11</v>
      </c>
      <c r="D35" s="81" t="str">
        <f>COMPOSIÇÃO!D84</f>
        <v>DIO 19" 6FO MÍNIMO - MONOMODO -  COM CONECTOR SC - FORNECIMENTO E INSTALAÇÃO</v>
      </c>
      <c r="E35" s="93" t="str">
        <f>COMPOSIÇÃO!E84</f>
        <v>UN</v>
      </c>
      <c r="F35" s="91">
        <v>7</v>
      </c>
      <c r="G35" s="96">
        <f>COMPOSIÇÃO!H84</f>
        <v>628.9</v>
      </c>
      <c r="H35" s="48">
        <f t="shared" si="2"/>
        <v>807.17</v>
      </c>
      <c r="I35" s="50">
        <f t="shared" si="3"/>
        <v>5650.19</v>
      </c>
    </row>
    <row r="36" spans="1:9" ht="27.6" x14ac:dyDescent="0.3">
      <c r="A36" s="100" t="s">
        <v>374</v>
      </c>
      <c r="B36" s="83" t="s">
        <v>23</v>
      </c>
      <c r="C36" s="161" t="str">
        <f>COMPOSIÇÃO!A90</f>
        <v>COMPOSIÇÃO 12</v>
      </c>
      <c r="D36" s="81" t="str">
        <f>COMPOSIÇÃO!D90</f>
        <v>DIO 19" 48FO MÍNIMO - MONOMODO-  COM CONECTOR SC - FORNECIMENTO E INSTALAÇÃO</v>
      </c>
      <c r="E36" s="93" t="str">
        <f>COMPOSIÇÃO!E90</f>
        <v>UN</v>
      </c>
      <c r="F36" s="91">
        <v>1</v>
      </c>
      <c r="G36" s="96">
        <f>COMPOSIÇÃO!H90</f>
        <v>1184.24</v>
      </c>
      <c r="H36" s="48">
        <f t="shared" si="2"/>
        <v>1519.94</v>
      </c>
      <c r="I36" s="50">
        <f t="shared" si="3"/>
        <v>1519.94</v>
      </c>
    </row>
    <row r="37" spans="1:9" x14ac:dyDescent="0.3">
      <c r="A37" s="100" t="s">
        <v>618</v>
      </c>
      <c r="B37" s="83" t="s">
        <v>23</v>
      </c>
      <c r="C37" s="161" t="str">
        <f>COMPOSIÇÃO!A96</f>
        <v>COMPOSIÇÃO 13</v>
      </c>
      <c r="D37" s="81" t="str">
        <f>COMPOSIÇÃO!D96</f>
        <v>MÓDULO GBIC SFP - BI-DIRECIONAL - FORNECIMENTO E INSTALAÇÃO</v>
      </c>
      <c r="E37" s="93" t="str">
        <f>COMPOSIÇÃO!E96</f>
        <v>UN</v>
      </c>
      <c r="F37" s="91">
        <v>18</v>
      </c>
      <c r="G37" s="96">
        <f>COMPOSIÇÃO!H96</f>
        <v>254.19</v>
      </c>
      <c r="H37" s="48">
        <f t="shared" si="2"/>
        <v>326.24</v>
      </c>
      <c r="I37" s="50">
        <f t="shared" si="3"/>
        <v>5872.32</v>
      </c>
    </row>
    <row r="38" spans="1:9" x14ac:dyDescent="0.3">
      <c r="A38" s="205" t="s">
        <v>114</v>
      </c>
      <c r="B38" s="204"/>
      <c r="C38" s="204"/>
      <c r="D38" s="204" t="s">
        <v>217</v>
      </c>
      <c r="E38" s="204"/>
      <c r="F38" s="317" t="s">
        <v>32</v>
      </c>
      <c r="G38" s="317"/>
      <c r="H38" s="317"/>
      <c r="I38" s="207">
        <f>SUM(I39:I43)</f>
        <v>135537.91</v>
      </c>
    </row>
    <row r="39" spans="1:9" ht="27.6" x14ac:dyDescent="0.3">
      <c r="A39" s="100" t="s">
        <v>375</v>
      </c>
      <c r="B39" s="83" t="s">
        <v>23</v>
      </c>
      <c r="C39" s="161" t="str">
        <f>COMPOSIÇÃO!A101</f>
        <v>COMPOSIÇÃO 14</v>
      </c>
      <c r="D39" s="81" t="str">
        <f>COMPOSIÇÃO!D101</f>
        <v>CÂMERA IP - POE - VIP 3260 Z FULL HD - ZOOM ÓPTICO 5X - LENTE 2.7MM - WDR REAL (120DB) - FORNECIMENTO E INSTALAÇÃO</v>
      </c>
      <c r="E39" s="93" t="str">
        <f>COMPOSIÇÃO!E101</f>
        <v>UN</v>
      </c>
      <c r="F39" s="91">
        <v>27</v>
      </c>
      <c r="G39" s="96">
        <f>COMPOSIÇÃO!H101</f>
        <v>1992.24</v>
      </c>
      <c r="H39" s="48">
        <f>TRUNC(G39*(1+$F$10),2)</f>
        <v>2372.23</v>
      </c>
      <c r="I39" s="50">
        <f t="shared" si="3"/>
        <v>64050.21</v>
      </c>
    </row>
    <row r="40" spans="1:9" ht="27.6" x14ac:dyDescent="0.3">
      <c r="A40" s="100" t="s">
        <v>376</v>
      </c>
      <c r="B40" s="83" t="s">
        <v>23</v>
      </c>
      <c r="C40" s="161" t="str">
        <f>COMPOSIÇÃO!A106</f>
        <v>COMPOSIÇÃO 15</v>
      </c>
      <c r="D40" s="81" t="str">
        <f>COMPOSIÇÃO!D106</f>
        <v>CÂMERA IP - POE - VIP 3230 B SÉRIE 3000 FULL HD - LENTE 2.8MM - FORNECIMENTO E INSTALAÇÃO</v>
      </c>
      <c r="E40" s="93" t="str">
        <f>COMPOSIÇÃO!E106</f>
        <v>UN</v>
      </c>
      <c r="F40" s="91">
        <v>47</v>
      </c>
      <c r="G40" s="96">
        <f>COMPOSIÇÃO!H106</f>
        <v>703.7</v>
      </c>
      <c r="H40" s="48">
        <f>TRUNC(G40*(1+$F$10),2)</f>
        <v>837.92</v>
      </c>
      <c r="I40" s="50">
        <f t="shared" si="3"/>
        <v>39382.239999999998</v>
      </c>
    </row>
    <row r="41" spans="1:9" ht="27.6" x14ac:dyDescent="0.3">
      <c r="A41" s="100" t="s">
        <v>489</v>
      </c>
      <c r="B41" s="83" t="s">
        <v>23</v>
      </c>
      <c r="C41" s="161" t="str">
        <f>COMPOSIÇÃO!A111</f>
        <v>COMPOSIÇÃO 16</v>
      </c>
      <c r="D41" s="81" t="str">
        <f>COMPOSIÇÃO!D111</f>
        <v>MONITOR LED 18,5", HD, WIDESCREEN - COM ENTRADA HDMI - FORNECIMENTO E INSTALAÇÃO</v>
      </c>
      <c r="E41" s="93" t="str">
        <f>COMPOSIÇÃO!E111</f>
        <v>UN</v>
      </c>
      <c r="F41" s="91">
        <v>1</v>
      </c>
      <c r="G41" s="96">
        <f>COMPOSIÇÃO!H111</f>
        <v>738.31000000000006</v>
      </c>
      <c r="H41" s="48">
        <f t="shared" si="2"/>
        <v>947.6</v>
      </c>
      <c r="I41" s="50">
        <f t="shared" si="3"/>
        <v>947.6</v>
      </c>
    </row>
    <row r="42" spans="1:9" ht="27.6" x14ac:dyDescent="0.3">
      <c r="A42" s="100" t="s">
        <v>377</v>
      </c>
      <c r="B42" s="83" t="s">
        <v>23</v>
      </c>
      <c r="C42" s="161" t="str">
        <f>COMPOSIÇÃO!$A$116</f>
        <v>COMPOSIÇÃO 17</v>
      </c>
      <c r="D42" s="81" t="str">
        <f>COMPOSIÇÃO!$D$116</f>
        <v>GRAVADOR DE VÍDEO NVR 32 CANAIS - RESOLUÇÃO DE GRAVAÇÃO 8MP(4K) - 8HD'S - REF. INTELBRAS NVD 7132 - FORNECIMENTO E INSTALAÇÃO</v>
      </c>
      <c r="E42" s="93" t="str">
        <f>COMPOSIÇÃO!$E$116</f>
        <v>UN</v>
      </c>
      <c r="F42" s="91">
        <v>2</v>
      </c>
      <c r="G42" s="96">
        <f>COMPOSIÇÃO!$H$116</f>
        <v>4598.43</v>
      </c>
      <c r="H42" s="48">
        <f t="shared" si="2"/>
        <v>5901.97</v>
      </c>
      <c r="I42" s="50">
        <f t="shared" si="3"/>
        <v>11803.94</v>
      </c>
    </row>
    <row r="43" spans="1:9" ht="27.6" x14ac:dyDescent="0.3">
      <c r="A43" s="100" t="s">
        <v>378</v>
      </c>
      <c r="B43" s="83" t="s">
        <v>23</v>
      </c>
      <c r="C43" s="161" t="str">
        <f>COMPOSIÇÃO!A121</f>
        <v>COMPOSIÇÃO 18</v>
      </c>
      <c r="D43" s="81" t="str">
        <f>COMPOSIÇÃO!D121</f>
        <v>HD DE 4TB - COMPATÍVEL COM NVR - REF. SEAGATE ST4000VX000 - FORNECIMENTO E INSTALAÇÃO</v>
      </c>
      <c r="E43" s="93" t="str">
        <f>COMPOSIÇÃO!E121</f>
        <v>UN</v>
      </c>
      <c r="F43" s="91">
        <v>16</v>
      </c>
      <c r="G43" s="96">
        <f>COMPOSIÇÃO!H121</f>
        <v>942.46</v>
      </c>
      <c r="H43" s="48">
        <f t="shared" si="2"/>
        <v>1209.6199999999999</v>
      </c>
      <c r="I43" s="50">
        <f t="shared" si="3"/>
        <v>19353.919999999998</v>
      </c>
    </row>
    <row r="44" spans="1:9" x14ac:dyDescent="0.3">
      <c r="A44" s="205" t="s">
        <v>115</v>
      </c>
      <c r="B44" s="204"/>
      <c r="C44" s="204"/>
      <c r="D44" s="204" t="s">
        <v>602</v>
      </c>
      <c r="E44" s="204"/>
      <c r="F44" s="317" t="s">
        <v>32</v>
      </c>
      <c r="G44" s="317"/>
      <c r="H44" s="317"/>
      <c r="I44" s="207">
        <f>SUM(I45:I106)</f>
        <v>319932.77999999991</v>
      </c>
    </row>
    <row r="45" spans="1:9" ht="27.6" x14ac:dyDescent="0.3">
      <c r="A45" s="100" t="s">
        <v>379</v>
      </c>
      <c r="B45" s="83" t="s">
        <v>23</v>
      </c>
      <c r="C45" s="148" t="s">
        <v>505</v>
      </c>
      <c r="D45" s="81" t="s">
        <v>506</v>
      </c>
      <c r="E45" s="93" t="s">
        <v>507</v>
      </c>
      <c r="F45" s="91">
        <v>53.06</v>
      </c>
      <c r="G45" s="96">
        <v>59.97</v>
      </c>
      <c r="H45" s="48">
        <f t="shared" si="2"/>
        <v>76.97</v>
      </c>
      <c r="I45" s="50">
        <f t="shared" si="3"/>
        <v>4084.02</v>
      </c>
    </row>
    <row r="46" spans="1:9" x14ac:dyDescent="0.3">
      <c r="A46" s="100" t="s">
        <v>380</v>
      </c>
      <c r="B46" s="83" t="s">
        <v>23</v>
      </c>
      <c r="C46" s="148" t="s">
        <v>508</v>
      </c>
      <c r="D46" s="81" t="s">
        <v>509</v>
      </c>
      <c r="E46" s="93" t="s">
        <v>507</v>
      </c>
      <c r="F46" s="91">
        <v>53.06</v>
      </c>
      <c r="G46" s="96">
        <v>36.36</v>
      </c>
      <c r="H46" s="48">
        <f t="shared" si="2"/>
        <v>46.66</v>
      </c>
      <c r="I46" s="50">
        <f t="shared" si="3"/>
        <v>2475.77</v>
      </c>
    </row>
    <row r="47" spans="1:9" ht="27.6" x14ac:dyDescent="0.3">
      <c r="A47" s="100" t="s">
        <v>381</v>
      </c>
      <c r="B47" s="83" t="s">
        <v>23</v>
      </c>
      <c r="C47" s="148" t="s">
        <v>510</v>
      </c>
      <c r="D47" s="81" t="s">
        <v>511</v>
      </c>
      <c r="E47" s="93" t="s">
        <v>33</v>
      </c>
      <c r="F47" s="91">
        <v>37.9</v>
      </c>
      <c r="G47" s="96">
        <v>17.829999999999998</v>
      </c>
      <c r="H47" s="48">
        <f t="shared" si="2"/>
        <v>22.88</v>
      </c>
      <c r="I47" s="50">
        <f t="shared" si="3"/>
        <v>867.15</v>
      </c>
    </row>
    <row r="48" spans="1:9" ht="27.6" x14ac:dyDescent="0.3">
      <c r="A48" s="100" t="s">
        <v>382</v>
      </c>
      <c r="B48" s="83" t="s">
        <v>23</v>
      </c>
      <c r="C48" s="148" t="s">
        <v>521</v>
      </c>
      <c r="D48" s="81" t="s">
        <v>522</v>
      </c>
      <c r="E48" s="93" t="s">
        <v>33</v>
      </c>
      <c r="F48" s="91">
        <v>173.9</v>
      </c>
      <c r="G48" s="96">
        <v>9.41</v>
      </c>
      <c r="H48" s="48">
        <f t="shared" si="2"/>
        <v>12.07</v>
      </c>
      <c r="I48" s="50">
        <f t="shared" si="3"/>
        <v>2098.9699999999998</v>
      </c>
    </row>
    <row r="49" spans="1:9" ht="27.6" x14ac:dyDescent="0.3">
      <c r="A49" s="100" t="s">
        <v>383</v>
      </c>
      <c r="B49" s="83" t="s">
        <v>23</v>
      </c>
      <c r="C49" s="148" t="s">
        <v>512</v>
      </c>
      <c r="D49" s="81" t="s">
        <v>513</v>
      </c>
      <c r="E49" s="93" t="s">
        <v>33</v>
      </c>
      <c r="F49" s="91">
        <v>7.3</v>
      </c>
      <c r="G49" s="96">
        <v>19.04</v>
      </c>
      <c r="H49" s="48">
        <f t="shared" si="2"/>
        <v>24.43</v>
      </c>
      <c r="I49" s="50">
        <f t="shared" si="3"/>
        <v>178.33</v>
      </c>
    </row>
    <row r="50" spans="1:9" ht="27.6" x14ac:dyDescent="0.3">
      <c r="A50" s="100" t="s">
        <v>384</v>
      </c>
      <c r="B50" s="83" t="s">
        <v>23</v>
      </c>
      <c r="C50" s="148" t="s">
        <v>514</v>
      </c>
      <c r="D50" s="81" t="s">
        <v>515</v>
      </c>
      <c r="E50" s="93" t="s">
        <v>33</v>
      </c>
      <c r="F50" s="91">
        <v>37.9</v>
      </c>
      <c r="G50" s="96">
        <v>4.45</v>
      </c>
      <c r="H50" s="48">
        <f t="shared" si="2"/>
        <v>5.71</v>
      </c>
      <c r="I50" s="50">
        <f t="shared" si="3"/>
        <v>216.4</v>
      </c>
    </row>
    <row r="51" spans="1:9" ht="27.6" x14ac:dyDescent="0.3">
      <c r="A51" s="100" t="s">
        <v>385</v>
      </c>
      <c r="B51" s="83" t="s">
        <v>23</v>
      </c>
      <c r="C51" s="148" t="s">
        <v>516</v>
      </c>
      <c r="D51" s="81" t="s">
        <v>517</v>
      </c>
      <c r="E51" s="93" t="s">
        <v>33</v>
      </c>
      <c r="F51" s="91">
        <v>7.3</v>
      </c>
      <c r="G51" s="96">
        <v>7.15</v>
      </c>
      <c r="H51" s="48">
        <f t="shared" si="2"/>
        <v>9.17</v>
      </c>
      <c r="I51" s="50">
        <f t="shared" si="3"/>
        <v>66.94</v>
      </c>
    </row>
    <row r="52" spans="1:9" x14ac:dyDescent="0.3">
      <c r="A52" s="100" t="s">
        <v>386</v>
      </c>
      <c r="B52" s="83" t="s">
        <v>23</v>
      </c>
      <c r="C52" s="148" t="s">
        <v>518</v>
      </c>
      <c r="D52" s="81" t="s">
        <v>519</v>
      </c>
      <c r="E52" s="93" t="s">
        <v>13</v>
      </c>
      <c r="F52" s="91">
        <v>3</v>
      </c>
      <c r="G52" s="96">
        <v>36.07</v>
      </c>
      <c r="H52" s="48">
        <f t="shared" si="2"/>
        <v>46.29</v>
      </c>
      <c r="I52" s="50">
        <f t="shared" si="3"/>
        <v>138.87</v>
      </c>
    </row>
    <row r="53" spans="1:9" ht="27.6" x14ac:dyDescent="0.3">
      <c r="A53" s="100" t="s">
        <v>387</v>
      </c>
      <c r="B53" s="83" t="s">
        <v>23</v>
      </c>
      <c r="C53" s="148" t="s">
        <v>545</v>
      </c>
      <c r="D53" s="81" t="s">
        <v>546</v>
      </c>
      <c r="E53" s="93" t="s">
        <v>33</v>
      </c>
      <c r="F53" s="91">
        <v>20232.599999999999</v>
      </c>
      <c r="G53" s="96">
        <v>2.73</v>
      </c>
      <c r="H53" s="48">
        <f t="shared" si="2"/>
        <v>3.5</v>
      </c>
      <c r="I53" s="50">
        <f t="shared" si="3"/>
        <v>70814.100000000006</v>
      </c>
    </row>
    <row r="54" spans="1:9" x14ac:dyDescent="0.3">
      <c r="A54" s="100" t="s">
        <v>388</v>
      </c>
      <c r="B54" s="178" t="s">
        <v>23</v>
      </c>
      <c r="C54" s="179" t="str">
        <f>COMPOSIÇÃO!A126</f>
        <v>COMPOSIÇÃO 19</v>
      </c>
      <c r="D54" s="184" t="str">
        <f>COMPOSIÇÃO!D126</f>
        <v>PATCH CORD, CATEGORIA 6, EXTENSAO DE 2,50 M - FORNECIMENTO E INSTALAÇÃO</v>
      </c>
      <c r="E54" s="180" t="str">
        <f>COMPOSIÇÃO!E126</f>
        <v>UN</v>
      </c>
      <c r="F54" s="181">
        <f>515+216</f>
        <v>731</v>
      </c>
      <c r="G54" s="182">
        <f>COMPOSIÇÃO!H126</f>
        <v>34.82</v>
      </c>
      <c r="H54" s="48">
        <f>TRUNC(G54*(1+$F$9),2)</f>
        <v>44.69</v>
      </c>
      <c r="I54" s="50">
        <f>TRUNC(H54*F54,2)</f>
        <v>32668.39</v>
      </c>
    </row>
    <row r="55" spans="1:9" x14ac:dyDescent="0.3">
      <c r="A55" s="100" t="s">
        <v>389</v>
      </c>
      <c r="B55" s="83" t="s">
        <v>23</v>
      </c>
      <c r="C55" s="161" t="str">
        <f>COMPOSIÇÃO!A132</f>
        <v>COMPOSIÇÃO 20</v>
      </c>
      <c r="D55" s="81" t="str">
        <f>COMPOSIÇÃO!D132</f>
        <v>FIBRA ÓPTICA - 6FO - MONOMODO - FORNECIMENTO E INSTALAÇÃO</v>
      </c>
      <c r="E55" s="93" t="str">
        <f>COMPOSIÇÃO!E132</f>
        <v>M</v>
      </c>
      <c r="F55" s="91">
        <v>413.9</v>
      </c>
      <c r="G55" s="96">
        <f>COMPOSIÇÃO!H132</f>
        <v>4.74</v>
      </c>
      <c r="H55" s="48">
        <f t="shared" si="2"/>
        <v>6.08</v>
      </c>
      <c r="I55" s="50">
        <f t="shared" si="3"/>
        <v>2516.5100000000002</v>
      </c>
    </row>
    <row r="56" spans="1:9" x14ac:dyDescent="0.3">
      <c r="A56" s="100" t="s">
        <v>390</v>
      </c>
      <c r="B56" s="83" t="s">
        <v>23</v>
      </c>
      <c r="C56" s="161" t="str">
        <f>COMPOSIÇÃO!A137</f>
        <v>COMPOSIÇÃO 21</v>
      </c>
      <c r="D56" s="81" t="str">
        <f>COMPOSIÇÃO!D137</f>
        <v>FIBRA ÓPTICA - 48FO - MONOMODO - FORNECIMENTO E INSTALAÇÃO</v>
      </c>
      <c r="E56" s="93" t="str">
        <f>COMPOSIÇÃO!E137</f>
        <v>M</v>
      </c>
      <c r="F56" s="91">
        <v>79.599999999999994</v>
      </c>
      <c r="G56" s="96">
        <f>COMPOSIÇÃO!H137</f>
        <v>17.97</v>
      </c>
      <c r="H56" s="48">
        <f t="shared" si="2"/>
        <v>23.06</v>
      </c>
      <c r="I56" s="50">
        <f t="shared" si="3"/>
        <v>1835.57</v>
      </c>
    </row>
    <row r="57" spans="1:9" x14ac:dyDescent="0.3">
      <c r="A57" s="100" t="s">
        <v>391</v>
      </c>
      <c r="B57" s="83" t="s">
        <v>23</v>
      </c>
      <c r="C57" s="161" t="str">
        <f>COMPOSIÇÃO!A143</f>
        <v>COMPOSIÇÃO 22</v>
      </c>
      <c r="D57" s="81" t="str">
        <f>COMPOSIÇÃO!D143</f>
        <v>PIGTAIL - CONECTOR SC - 1,5M - FORNECIMENTO E INSTALAÇÃO</v>
      </c>
      <c r="E57" s="93" t="str">
        <f>COMPOSIÇÃO!E143</f>
        <v>UN</v>
      </c>
      <c r="F57" s="91">
        <v>50</v>
      </c>
      <c r="G57" s="96">
        <f>COMPOSIÇÃO!H143</f>
        <v>20.8</v>
      </c>
      <c r="H57" s="48">
        <f t="shared" si="2"/>
        <v>26.69</v>
      </c>
      <c r="I57" s="50">
        <f t="shared" si="3"/>
        <v>1334.5</v>
      </c>
    </row>
    <row r="58" spans="1:9" s="142" customFormat="1" ht="27.6" x14ac:dyDescent="0.3">
      <c r="A58" s="100" t="s">
        <v>547</v>
      </c>
      <c r="B58" s="186" t="s">
        <v>23</v>
      </c>
      <c r="C58" s="223" t="str">
        <f>COMPOSIÇÃO!A149</f>
        <v>COMPOSIÇÃO 23</v>
      </c>
      <c r="D58" s="81" t="str">
        <f>COMPOSIÇÃO!D149</f>
        <v>UNIDUT 3/4" M - FORNECIMENTO E INSTALAÇÃO</v>
      </c>
      <c r="E58" s="224" t="str">
        <f>COMPOSIÇÃO!E149</f>
        <v>UN</v>
      </c>
      <c r="F58" s="189">
        <v>90</v>
      </c>
      <c r="G58" s="190">
        <f>COMPOSIÇÃO!H149</f>
        <v>5.3900000000000006</v>
      </c>
      <c r="H58" s="48">
        <f t="shared" ref="H58" si="6">TRUNC(G58*(1+$F$9),2)</f>
        <v>6.91</v>
      </c>
      <c r="I58" s="50">
        <f t="shared" ref="I58" si="7">TRUNC(H58*F58,2)</f>
        <v>621.9</v>
      </c>
    </row>
    <row r="59" spans="1:9" s="142" customFormat="1" ht="27.6" x14ac:dyDescent="0.3">
      <c r="A59" s="100" t="s">
        <v>392</v>
      </c>
      <c r="B59" s="186" t="s">
        <v>23</v>
      </c>
      <c r="C59" s="187" t="s">
        <v>189</v>
      </c>
      <c r="D59" s="81" t="s">
        <v>363</v>
      </c>
      <c r="E59" s="188" t="s">
        <v>33</v>
      </c>
      <c r="F59" s="189">
        <v>480.6</v>
      </c>
      <c r="G59" s="190">
        <v>7.49</v>
      </c>
      <c r="H59" s="48">
        <f t="shared" si="2"/>
        <v>9.61</v>
      </c>
      <c r="I59" s="50">
        <f t="shared" si="3"/>
        <v>4618.5600000000004</v>
      </c>
    </row>
    <row r="60" spans="1:9" ht="27.6" x14ac:dyDescent="0.3">
      <c r="A60" s="100" t="s">
        <v>393</v>
      </c>
      <c r="B60" s="83" t="s">
        <v>23</v>
      </c>
      <c r="C60" s="148" t="s">
        <v>190</v>
      </c>
      <c r="D60" s="81" t="s">
        <v>364</v>
      </c>
      <c r="E60" s="93" t="s">
        <v>33</v>
      </c>
      <c r="F60" s="91">
        <v>58.7</v>
      </c>
      <c r="G60" s="96">
        <v>9.89</v>
      </c>
      <c r="H60" s="48">
        <f t="shared" si="2"/>
        <v>12.69</v>
      </c>
      <c r="I60" s="50">
        <f t="shared" si="3"/>
        <v>744.9</v>
      </c>
    </row>
    <row r="61" spans="1:9" ht="27.6" x14ac:dyDescent="0.3">
      <c r="A61" s="100" t="s">
        <v>394</v>
      </c>
      <c r="B61" s="83" t="s">
        <v>23</v>
      </c>
      <c r="C61" s="148" t="s">
        <v>191</v>
      </c>
      <c r="D61" s="81" t="s">
        <v>365</v>
      </c>
      <c r="E61" s="93" t="s">
        <v>33</v>
      </c>
      <c r="F61" s="91">
        <v>85.8</v>
      </c>
      <c r="G61" s="96">
        <v>6.46</v>
      </c>
      <c r="H61" s="48">
        <f t="shared" si="2"/>
        <v>8.2899999999999991</v>
      </c>
      <c r="I61" s="50">
        <f t="shared" si="3"/>
        <v>711.28</v>
      </c>
    </row>
    <row r="62" spans="1:9" ht="27.6" x14ac:dyDescent="0.3">
      <c r="A62" s="100" t="s">
        <v>395</v>
      </c>
      <c r="B62" s="83" t="s">
        <v>23</v>
      </c>
      <c r="C62" s="148" t="s">
        <v>580</v>
      </c>
      <c r="D62" s="81" t="s">
        <v>581</v>
      </c>
      <c r="E62" s="93" t="s">
        <v>33</v>
      </c>
      <c r="F62" s="91">
        <v>114</v>
      </c>
      <c r="G62" s="96">
        <v>23.85</v>
      </c>
      <c r="H62" s="48">
        <f t="shared" ref="H62" si="8">TRUNC(G62*(1+$F$9),2)</f>
        <v>30.61</v>
      </c>
      <c r="I62" s="50">
        <f t="shared" ref="I62" si="9">TRUNC(H62*F62,2)</f>
        <v>3489.54</v>
      </c>
    </row>
    <row r="63" spans="1:9" ht="27.6" x14ac:dyDescent="0.3">
      <c r="A63" s="100" t="s">
        <v>396</v>
      </c>
      <c r="B63" s="83" t="s">
        <v>23</v>
      </c>
      <c r="C63" s="148" t="s">
        <v>582</v>
      </c>
      <c r="D63" s="81" t="s">
        <v>583</v>
      </c>
      <c r="E63" s="93" t="s">
        <v>33</v>
      </c>
      <c r="F63" s="91">
        <v>30</v>
      </c>
      <c r="G63" s="96">
        <v>28.35</v>
      </c>
      <c r="H63" s="48">
        <f t="shared" ref="H63:H64" si="10">TRUNC(G63*(1+$F$9),2)</f>
        <v>36.380000000000003</v>
      </c>
      <c r="I63" s="50">
        <f t="shared" ref="I63:I64" si="11">TRUNC(H63*F63,2)</f>
        <v>1091.4000000000001</v>
      </c>
    </row>
    <row r="64" spans="1:9" ht="41.4" x14ac:dyDescent="0.3">
      <c r="A64" s="100" t="s">
        <v>397</v>
      </c>
      <c r="B64" s="83" t="s">
        <v>23</v>
      </c>
      <c r="C64" s="161" t="str">
        <f>COMPOSIÇÃO!A155</f>
        <v>COMPOSIÇÃO 24</v>
      </c>
      <c r="D64" s="81" t="str">
        <f>COMPOSIÇÃO!D155</f>
        <v>CURVA 90 GRAUS PARA ELETRODUTO, FERRO GALVANIZADO, DN 25 MM (3/4"), PARA CIRCUITOS TERMINAIS, INSTALADA EM PAREDE - FORNECIMENTO E INSTALAÇÃO. AF_12/2015</v>
      </c>
      <c r="E64" s="93" t="str">
        <f>COMPOSIÇÃO!E155</f>
        <v>UN</v>
      </c>
      <c r="F64" s="91">
        <v>20</v>
      </c>
      <c r="G64" s="96">
        <f>COMPOSIÇÃO!H155</f>
        <v>23.68</v>
      </c>
      <c r="H64" s="48">
        <f t="shared" si="10"/>
        <v>30.39</v>
      </c>
      <c r="I64" s="50">
        <f t="shared" si="11"/>
        <v>607.79999999999995</v>
      </c>
    </row>
    <row r="65" spans="1:9" ht="41.4" x14ac:dyDescent="0.3">
      <c r="A65" s="100" t="s">
        <v>398</v>
      </c>
      <c r="B65" s="83" t="s">
        <v>23</v>
      </c>
      <c r="C65" s="161" t="str">
        <f>COMPOSIÇÃO!A161</f>
        <v>COMPOSIÇÃO 25</v>
      </c>
      <c r="D65" s="81" t="str">
        <f>COMPOSIÇÃO!D161</f>
        <v>CURVA 90 GRAUS PARA ELETRODUTO, FERRO GALVANIZADO, DN 25 MM (1"), PARA CIRCUITOS TERMINAIS, INSTALADA EM PAREDE - FORNECIMENTO E INSTALAÇÃO. AF_12/2015</v>
      </c>
      <c r="E65" s="93" t="str">
        <f>COMPOSIÇÃO!E161</f>
        <v>UN</v>
      </c>
      <c r="F65" s="91">
        <v>1</v>
      </c>
      <c r="G65" s="96">
        <f>COMPOSIÇÃO!H161</f>
        <v>33.86</v>
      </c>
      <c r="H65" s="48">
        <f t="shared" ref="H65:H66" si="12">TRUNC(G65*(1+$F$9),2)</f>
        <v>43.45</v>
      </c>
      <c r="I65" s="50">
        <f t="shared" ref="I65:I66" si="13">TRUNC(H65*F65,2)</f>
        <v>43.45</v>
      </c>
    </row>
    <row r="66" spans="1:9" ht="41.4" x14ac:dyDescent="0.3">
      <c r="A66" s="100" t="s">
        <v>399</v>
      </c>
      <c r="B66" s="83" t="s">
        <v>23</v>
      </c>
      <c r="C66" s="148" t="s">
        <v>589</v>
      </c>
      <c r="D66" s="81" t="s">
        <v>590</v>
      </c>
      <c r="E66" s="93" t="s">
        <v>13</v>
      </c>
      <c r="F66" s="91">
        <v>5</v>
      </c>
      <c r="G66" s="96">
        <v>242.41</v>
      </c>
      <c r="H66" s="48">
        <f t="shared" si="12"/>
        <v>311.12</v>
      </c>
      <c r="I66" s="50">
        <f t="shared" si="13"/>
        <v>1555.6</v>
      </c>
    </row>
    <row r="67" spans="1:9" ht="27.6" x14ac:dyDescent="0.3">
      <c r="A67" s="100" t="s">
        <v>400</v>
      </c>
      <c r="B67" s="83" t="s">
        <v>23</v>
      </c>
      <c r="C67" s="161" t="str">
        <f>COMPOSIÇÃO!A167</f>
        <v>COMPOSIÇÃO 26</v>
      </c>
      <c r="D67" s="81" t="str">
        <f>COMPOSIÇÃO!D167</f>
        <v>PERFILADO GALVANIZADO À FOGO 38X38X6000MM - FORNECIMENTO E INSTALAÇÃO</v>
      </c>
      <c r="E67" s="93" t="s">
        <v>591</v>
      </c>
      <c r="F67" s="91">
        <f>342/6</f>
        <v>57</v>
      </c>
      <c r="G67" s="96">
        <f>COMPOSIÇÃO!H167</f>
        <v>88.09</v>
      </c>
      <c r="H67" s="48">
        <f t="shared" si="2"/>
        <v>113.06</v>
      </c>
      <c r="I67" s="50">
        <f t="shared" si="3"/>
        <v>6444.42</v>
      </c>
    </row>
    <row r="68" spans="1:9" ht="27.6" x14ac:dyDescent="0.3">
      <c r="A68" s="100" t="s">
        <v>401</v>
      </c>
      <c r="B68" s="83" t="s">
        <v>23</v>
      </c>
      <c r="C68" s="161" t="str">
        <f>COMPOSIÇÃO!A173</f>
        <v>COMPOSIÇÃO 27</v>
      </c>
      <c r="D68" s="81" t="str">
        <f>COMPOSIÇÃO!D173</f>
        <v>FIXAÇÃO DE PERFILADO 38X38, EM LAJE, COM BARRA ROSCADA - FORNECIMENTO E INSTALAÇÃO</v>
      </c>
      <c r="E68" s="93" t="str">
        <f>COMPOSIÇÃO!E173</f>
        <v>M</v>
      </c>
      <c r="F68" s="91">
        <v>342</v>
      </c>
      <c r="G68" s="96">
        <f>COMPOSIÇÃO!H173</f>
        <v>25.480000000000004</v>
      </c>
      <c r="H68" s="48">
        <f t="shared" si="2"/>
        <v>32.700000000000003</v>
      </c>
      <c r="I68" s="50">
        <f t="shared" si="3"/>
        <v>11183.4</v>
      </c>
    </row>
    <row r="69" spans="1:9" x14ac:dyDescent="0.3">
      <c r="A69" s="100" t="s">
        <v>402</v>
      </c>
      <c r="B69" s="83" t="s">
        <v>23</v>
      </c>
      <c r="C69" s="161" t="str">
        <f>COMPOSIÇÃO!A184</f>
        <v>COMPOSIÇÃO 28</v>
      </c>
      <c r="D69" s="81" t="str">
        <f>COMPOSIÇÃO!D184</f>
        <v>GANCHO CURTO PARA PERFILADO 44X32MM - FORNECIMENTO E INSTALAÇÃO</v>
      </c>
      <c r="E69" s="93" t="str">
        <f>COMPOSIÇÃO!E184</f>
        <v>UN</v>
      </c>
      <c r="F69" s="91">
        <v>372</v>
      </c>
      <c r="G69" s="96">
        <f>COMPOSIÇÃO!H184</f>
        <v>11.33</v>
      </c>
      <c r="H69" s="48">
        <f t="shared" si="2"/>
        <v>14.54</v>
      </c>
      <c r="I69" s="50">
        <f t="shared" si="3"/>
        <v>5408.88</v>
      </c>
    </row>
    <row r="70" spans="1:9" x14ac:dyDescent="0.3">
      <c r="A70" s="100" t="s">
        <v>403</v>
      </c>
      <c r="B70" s="83" t="s">
        <v>23</v>
      </c>
      <c r="C70" s="161" t="str">
        <f>COMPOSIÇÃO!A190</f>
        <v>COMPOSIÇÃO 29</v>
      </c>
      <c r="D70" s="81" t="str">
        <f>COMPOSIÇÃO!D190</f>
        <v>TALA PLANA PERFURADA 38MM - FORNECIMENTO E INSTALAÇÃO</v>
      </c>
      <c r="E70" s="93" t="str">
        <f>COMPOSIÇÃO!E190</f>
        <v>UN</v>
      </c>
      <c r="F70" s="91">
        <v>234</v>
      </c>
      <c r="G70" s="96">
        <f>COMPOSIÇÃO!H190</f>
        <v>7.13</v>
      </c>
      <c r="H70" s="48">
        <f t="shared" si="2"/>
        <v>9.15</v>
      </c>
      <c r="I70" s="50">
        <f t="shared" si="3"/>
        <v>2141.1</v>
      </c>
    </row>
    <row r="71" spans="1:9" ht="27.6" x14ac:dyDescent="0.3">
      <c r="A71" s="100" t="s">
        <v>404</v>
      </c>
      <c r="B71" s="83" t="s">
        <v>23</v>
      </c>
      <c r="C71" s="161" t="str">
        <f>COMPOSIÇÃO!A196</f>
        <v>COMPOSIÇÃO 30</v>
      </c>
      <c r="D71" s="81" t="str">
        <f>COMPOSIÇÃO!D196</f>
        <v>CURVA 90° HORIZONTAL PARA PERFILADO 38X38MM - FORNECIMENTO E INSTALAÇÃO</v>
      </c>
      <c r="E71" s="93" t="str">
        <f>COMPOSIÇÃO!E196</f>
        <v xml:space="preserve">UN </v>
      </c>
      <c r="F71" s="91">
        <v>6</v>
      </c>
      <c r="G71" s="96">
        <f>COMPOSIÇÃO!H196</f>
        <v>11.16</v>
      </c>
      <c r="H71" s="48">
        <f t="shared" si="2"/>
        <v>14.32</v>
      </c>
      <c r="I71" s="50">
        <f t="shared" si="3"/>
        <v>85.92</v>
      </c>
    </row>
    <row r="72" spans="1:9" ht="27.6" x14ac:dyDescent="0.3">
      <c r="A72" s="100" t="s">
        <v>405</v>
      </c>
      <c r="B72" s="83" t="s">
        <v>23</v>
      </c>
      <c r="C72" s="161" t="str">
        <f>COMPOSIÇÃO!A202</f>
        <v>COMPOSIÇÃO 31</v>
      </c>
      <c r="D72" s="81" t="str">
        <f>COMPOSIÇÃO!D202</f>
        <v>CURVA 90° VERTICAL INTERNA PARA PERFILADO 38X38MM - FORNECIMENTO E INSTALAÇÃO</v>
      </c>
      <c r="E72" s="93" t="str">
        <f>COMPOSIÇÃO!E202</f>
        <v xml:space="preserve">UN </v>
      </c>
      <c r="F72" s="91">
        <v>1</v>
      </c>
      <c r="G72" s="96">
        <f>COMPOSIÇÃO!H202</f>
        <v>9.9599999999999991</v>
      </c>
      <c r="H72" s="48">
        <f t="shared" si="2"/>
        <v>12.78</v>
      </c>
      <c r="I72" s="50">
        <f t="shared" si="3"/>
        <v>12.78</v>
      </c>
    </row>
    <row r="73" spans="1:9" ht="27.6" x14ac:dyDescent="0.3">
      <c r="A73" s="100" t="s">
        <v>406</v>
      </c>
      <c r="B73" s="83" t="s">
        <v>23</v>
      </c>
      <c r="C73" s="161" t="str">
        <f>COMPOSIÇÃO!A208</f>
        <v>COMPOSIÇÃO 32</v>
      </c>
      <c r="D73" s="81" t="str">
        <f>COMPOSIÇÃO!D208</f>
        <v>CURVA 90° VERTICAL EXTERNA PARA PERFILADO 38X38MM - FORNECIMENTO E INSTALAÇÃO</v>
      </c>
      <c r="E73" s="93" t="str">
        <f>COMPOSIÇÃO!E208</f>
        <v xml:space="preserve">UN </v>
      </c>
      <c r="F73" s="91">
        <v>2</v>
      </c>
      <c r="G73" s="96">
        <f>COMPOSIÇÃO!H208</f>
        <v>10.459999999999999</v>
      </c>
      <c r="H73" s="48">
        <f t="shared" si="2"/>
        <v>13.42</v>
      </c>
      <c r="I73" s="50">
        <f t="shared" si="3"/>
        <v>26.84</v>
      </c>
    </row>
    <row r="74" spans="1:9" x14ac:dyDescent="0.3">
      <c r="A74" s="100" t="s">
        <v>407</v>
      </c>
      <c r="B74" s="83" t="s">
        <v>23</v>
      </c>
      <c r="C74" s="161" t="str">
        <f>COMPOSIÇÃO!A214</f>
        <v>COMPOSIÇÃO 33</v>
      </c>
      <c r="D74" s="81" t="str">
        <f>COMPOSIÇÃO!D214</f>
        <v>TERMINAL 38X38MM - FORNECIMENTO E INSTALAÇÃO</v>
      </c>
      <c r="E74" s="93" t="str">
        <f>COMPOSIÇÃO!E214</f>
        <v>UN</v>
      </c>
      <c r="F74" s="91">
        <v>29</v>
      </c>
      <c r="G74" s="96">
        <f>COMPOSIÇÃO!$H$214</f>
        <v>12.77</v>
      </c>
      <c r="H74" s="48">
        <f t="shared" si="2"/>
        <v>16.38</v>
      </c>
      <c r="I74" s="50">
        <f t="shared" si="3"/>
        <v>475.02</v>
      </c>
    </row>
    <row r="75" spans="1:9" x14ac:dyDescent="0.3">
      <c r="A75" s="100" t="s">
        <v>497</v>
      </c>
      <c r="B75" s="83" t="s">
        <v>23</v>
      </c>
      <c r="C75" s="161" t="str">
        <f>COMPOSIÇÃO!$A$220</f>
        <v>COMPOSIÇÃO 34</v>
      </c>
      <c r="D75" s="81" t="str">
        <f>COMPOSIÇÃO!$D$220</f>
        <v>SAÍDA PERFILADO PARA ELETRODUTO 3/4" - FORNECIMENTO E INSTALAÇÃO</v>
      </c>
      <c r="E75" s="93" t="str">
        <f>COMPOSIÇÃO!$E$220</f>
        <v>UN</v>
      </c>
      <c r="F75" s="91">
        <v>86</v>
      </c>
      <c r="G75" s="96">
        <f>COMPOSIÇÃO!$H$220</f>
        <v>11.51</v>
      </c>
      <c r="H75" s="48">
        <f t="shared" si="2"/>
        <v>14.77</v>
      </c>
      <c r="I75" s="50">
        <f t="shared" si="3"/>
        <v>1270.22</v>
      </c>
    </row>
    <row r="76" spans="1:9" ht="27.6" x14ac:dyDescent="0.3">
      <c r="A76" s="100" t="s">
        <v>408</v>
      </c>
      <c r="B76" s="83" t="s">
        <v>23</v>
      </c>
      <c r="C76" s="161" t="str">
        <f>COMPOSIÇÃO!A226</f>
        <v>COMPOSIÇÃO 35</v>
      </c>
      <c r="D76" s="81" t="str">
        <f>COMPOSIÇÃO!D226</f>
        <v>ELETROCALHA METÁLICA PERFURADA TIPO U 100X50MM - FORNECIMENTO E INSTALAÇÃO</v>
      </c>
      <c r="E76" s="93" t="str">
        <f>COMPOSIÇÃO!E226</f>
        <v>M</v>
      </c>
      <c r="F76" s="91">
        <v>41.9</v>
      </c>
      <c r="G76" s="96">
        <f>COMPOSIÇÃO!H226</f>
        <v>56.830000000000005</v>
      </c>
      <c r="H76" s="48">
        <f t="shared" si="2"/>
        <v>72.930000000000007</v>
      </c>
      <c r="I76" s="50">
        <f t="shared" si="3"/>
        <v>3055.76</v>
      </c>
    </row>
    <row r="77" spans="1:9" ht="27.6" x14ac:dyDescent="0.3">
      <c r="A77" s="100" t="s">
        <v>409</v>
      </c>
      <c r="B77" s="83" t="s">
        <v>23</v>
      </c>
      <c r="C77" s="161" t="str">
        <f>COMPOSIÇÃO!A244</f>
        <v>COMPOSIÇÃO 38</v>
      </c>
      <c r="D77" s="81" t="str">
        <f>COMPOSIÇÃO!D244</f>
        <v>FIXAÇÃO DE ELETROCALHA 100X50, EM LAJE, COM BARRA ROSCADA - FORNECIMENTO E INSTALAÇÃO</v>
      </c>
      <c r="E77" s="93" t="str">
        <f>COMPOSIÇÃO!E244</f>
        <v>M</v>
      </c>
      <c r="F77" s="91">
        <f>F76</f>
        <v>41.9</v>
      </c>
      <c r="G77" s="96">
        <f>COMPOSIÇÃO!H244</f>
        <v>20.930000000000003</v>
      </c>
      <c r="H77" s="48">
        <f t="shared" si="2"/>
        <v>26.86</v>
      </c>
      <c r="I77" s="50">
        <f t="shared" si="3"/>
        <v>1125.43</v>
      </c>
    </row>
    <row r="78" spans="1:9" ht="27.6" x14ac:dyDescent="0.3">
      <c r="A78" s="100" t="s">
        <v>498</v>
      </c>
      <c r="B78" s="83" t="s">
        <v>23</v>
      </c>
      <c r="C78" s="161" t="str">
        <f>COMPOSIÇÃO!A232</f>
        <v>COMPOSIÇÃO 36</v>
      </c>
      <c r="D78" s="81" t="str">
        <f>COMPOSIÇÃO!D232</f>
        <v>ELETROCALHA METÁLICA PERFURADA TIPO U 200X50MM - FORNECIMENTO E INSTALAÇÃO</v>
      </c>
      <c r="E78" s="93" t="str">
        <f>COMPOSIÇÃO!E232</f>
        <v>M</v>
      </c>
      <c r="F78" s="91">
        <v>88.9</v>
      </c>
      <c r="G78" s="96">
        <f>COMPOSIÇÃO!H232</f>
        <v>68.87</v>
      </c>
      <c r="H78" s="48">
        <f t="shared" si="2"/>
        <v>88.39</v>
      </c>
      <c r="I78" s="50">
        <f t="shared" si="3"/>
        <v>7857.87</v>
      </c>
    </row>
    <row r="79" spans="1:9" ht="27.6" x14ac:dyDescent="0.3">
      <c r="A79" s="100" t="s">
        <v>410</v>
      </c>
      <c r="B79" s="83" t="s">
        <v>23</v>
      </c>
      <c r="C79" s="161" t="str">
        <f>COMPOSIÇÃO!A254</f>
        <v>COMPOSIÇÃO 39</v>
      </c>
      <c r="D79" s="81" t="str">
        <f>COMPOSIÇÃO!D254</f>
        <v>FIXAÇÃO DE ELETROCALHA 200X50, EM LAJE, COM BARRA ROSCADA - FORNECIMENTO E INSTALAÇÃO</v>
      </c>
      <c r="E79" s="93" t="str">
        <f>COMPOSIÇÃO!E254</f>
        <v>M</v>
      </c>
      <c r="F79" s="91">
        <f>F78</f>
        <v>88.9</v>
      </c>
      <c r="G79" s="96">
        <f>COMPOSIÇÃO!H254</f>
        <v>24.68</v>
      </c>
      <c r="H79" s="48">
        <f t="shared" si="2"/>
        <v>31.67</v>
      </c>
      <c r="I79" s="50">
        <f t="shared" si="3"/>
        <v>2815.46</v>
      </c>
    </row>
    <row r="80" spans="1:9" ht="27.6" x14ac:dyDescent="0.3">
      <c r="A80" s="100" t="s">
        <v>411</v>
      </c>
      <c r="B80" s="83" t="s">
        <v>23</v>
      </c>
      <c r="C80" s="161" t="str">
        <f>COMPOSIÇÃO!A238</f>
        <v>COMPOSIÇÃO 37</v>
      </c>
      <c r="D80" s="81" t="str">
        <f>COMPOSIÇÃO!D238</f>
        <v>ELETROCALHA METÁLICA PERFURADA TIPO U 200X100MM  - FORNECIMENTO E INSTALAÇÃO</v>
      </c>
      <c r="E80" s="93" t="str">
        <f>COMPOSIÇÃO!E238</f>
        <v>M</v>
      </c>
      <c r="F80" s="91">
        <v>73.400000000000006</v>
      </c>
      <c r="G80" s="96">
        <f>COMPOSIÇÃO!H238</f>
        <v>90.600000000000009</v>
      </c>
      <c r="H80" s="48">
        <f t="shared" si="2"/>
        <v>116.28</v>
      </c>
      <c r="I80" s="50">
        <f t="shared" si="3"/>
        <v>8534.9500000000007</v>
      </c>
    </row>
    <row r="81" spans="1:9" ht="27.6" x14ac:dyDescent="0.3">
      <c r="A81" s="100" t="s">
        <v>412</v>
      </c>
      <c r="B81" s="83" t="s">
        <v>23</v>
      </c>
      <c r="C81" s="161" t="str">
        <f>COMPOSIÇÃO!A264</f>
        <v>COMPOSIÇÃO 40</v>
      </c>
      <c r="D81" s="81" t="str">
        <f>COMPOSIÇÃO!D264</f>
        <v>FIXAÇÃO DE ELETROCALHA 200X100, EM LAJE, COM BARRA ROSCADA - FORNECIMENTO E INSTALAÇÃO</v>
      </c>
      <c r="E81" s="93" t="str">
        <f>COMPOSIÇÃO!E264</f>
        <v>M</v>
      </c>
      <c r="F81" s="91">
        <f>F80</f>
        <v>73.400000000000006</v>
      </c>
      <c r="G81" s="96">
        <f>COMPOSIÇÃO!H264</f>
        <v>27.05</v>
      </c>
      <c r="H81" s="48">
        <f t="shared" si="2"/>
        <v>34.71</v>
      </c>
      <c r="I81" s="50">
        <f t="shared" si="3"/>
        <v>2547.71</v>
      </c>
    </row>
    <row r="82" spans="1:9" x14ac:dyDescent="0.3">
      <c r="A82" s="100" t="s">
        <v>413</v>
      </c>
      <c r="B82" s="83" t="s">
        <v>23</v>
      </c>
      <c r="C82" s="161" t="str">
        <f>COMPOSIÇÃO!A274</f>
        <v>COMPOSIÇÃO 41</v>
      </c>
      <c r="D82" s="81" t="str">
        <f>COMPOSIÇÃO!D274</f>
        <v>TALA PLANA PERFURADA 50MM - FORNECIMENTO E INSTALAÇÃO</v>
      </c>
      <c r="E82" s="93" t="str">
        <f>COMPOSIÇÃO!E274</f>
        <v>UN</v>
      </c>
      <c r="F82" s="91">
        <v>170</v>
      </c>
      <c r="G82" s="96">
        <f>COMPOSIÇÃO!H274</f>
        <v>7.13</v>
      </c>
      <c r="H82" s="48">
        <f t="shared" si="2"/>
        <v>9.15</v>
      </c>
      <c r="I82" s="50">
        <f t="shared" si="3"/>
        <v>1555.5</v>
      </c>
    </row>
    <row r="83" spans="1:9" x14ac:dyDescent="0.3">
      <c r="A83" s="100" t="s">
        <v>414</v>
      </c>
      <c r="B83" s="83" t="s">
        <v>23</v>
      </c>
      <c r="C83" s="161" t="str">
        <f>COMPOSIÇÃO!A280</f>
        <v>COMPOSIÇÃO 42</v>
      </c>
      <c r="D83" s="81" t="str">
        <f>COMPOSIÇÃO!D280</f>
        <v>TALA PLANA PERFURADA 10MM - FORNECIMENTO E INSTALAÇÃO</v>
      </c>
      <c r="E83" s="93" t="str">
        <f>COMPOSIÇÃO!E280</f>
        <v>UN</v>
      </c>
      <c r="F83" s="91">
        <v>30</v>
      </c>
      <c r="G83" s="96">
        <f>COMPOSIÇÃO!H280</f>
        <v>9.2200000000000006</v>
      </c>
      <c r="H83" s="48">
        <f t="shared" si="2"/>
        <v>11.83</v>
      </c>
      <c r="I83" s="50">
        <f t="shared" si="3"/>
        <v>354.9</v>
      </c>
    </row>
    <row r="84" spans="1:9" x14ac:dyDescent="0.3">
      <c r="A84" s="100" t="s">
        <v>415</v>
      </c>
      <c r="B84" s="83" t="s">
        <v>23</v>
      </c>
      <c r="C84" s="161" t="str">
        <f>COMPOSIÇÃO!A286</f>
        <v>COMPOSIÇÃO 43</v>
      </c>
      <c r="D84" s="185" t="str">
        <f>COMPOSIÇÃO!D286</f>
        <v>"T" HORIZONTAL  200X50MM PARA ELETROCALHA  - FORNECIMENTO E INSTALAÇÃO</v>
      </c>
      <c r="E84" s="93" t="str">
        <f>COMPOSIÇÃO!E286</f>
        <v xml:space="preserve">UN </v>
      </c>
      <c r="F84" s="91">
        <v>5</v>
      </c>
      <c r="G84" s="96">
        <f>COMPOSIÇÃO!H286</f>
        <v>60.32</v>
      </c>
      <c r="H84" s="48">
        <f t="shared" si="2"/>
        <v>77.41</v>
      </c>
      <c r="I84" s="50">
        <f t="shared" si="3"/>
        <v>387.05</v>
      </c>
    </row>
    <row r="85" spans="1:9" ht="27.6" x14ac:dyDescent="0.3">
      <c r="A85" s="100" t="s">
        <v>416</v>
      </c>
      <c r="B85" s="83" t="s">
        <v>23</v>
      </c>
      <c r="C85" s="161" t="str">
        <f>COMPOSIÇÃO!A292</f>
        <v>COMPOSIÇÃO 44</v>
      </c>
      <c r="D85" s="81" t="str">
        <f>COMPOSIÇÃO!D292</f>
        <v>"T" HORIZONTAL  200X100MM PARA ELETROCALHA  - FORNECIMENTO E INSTALAÇÃO</v>
      </c>
      <c r="E85" s="93" t="str">
        <f>COMPOSIÇÃO!E292</f>
        <v xml:space="preserve">UN </v>
      </c>
      <c r="F85" s="91">
        <v>3</v>
      </c>
      <c r="G85" s="96">
        <f>COMPOSIÇÃO!H292</f>
        <v>69.260000000000005</v>
      </c>
      <c r="H85" s="48">
        <f t="shared" si="2"/>
        <v>88.89</v>
      </c>
      <c r="I85" s="50">
        <f t="shared" si="3"/>
        <v>266.67</v>
      </c>
    </row>
    <row r="86" spans="1:9" x14ac:dyDescent="0.3">
      <c r="A86" s="100" t="s">
        <v>417</v>
      </c>
      <c r="B86" s="83" t="s">
        <v>23</v>
      </c>
      <c r="C86" s="161" t="str">
        <f>COMPOSIÇÃO!A298</f>
        <v>COMPOSIÇÃO 45</v>
      </c>
      <c r="D86" s="81" t="str">
        <f>COMPOSIÇÃO!D298</f>
        <v>"T" VERTICAL SUBIDA 90° - 200X50MM - FORNECIMENTO E INSTALAÇÃO</v>
      </c>
      <c r="E86" s="93" t="str">
        <f>COMPOSIÇÃO!E298</f>
        <v xml:space="preserve">UN </v>
      </c>
      <c r="F86" s="91">
        <v>2</v>
      </c>
      <c r="G86" s="96">
        <f>COMPOSIÇÃO!H298</f>
        <v>69.260000000000005</v>
      </c>
      <c r="H86" s="48">
        <f t="shared" si="2"/>
        <v>88.89</v>
      </c>
      <c r="I86" s="50">
        <f t="shared" si="3"/>
        <v>177.78</v>
      </c>
    </row>
    <row r="87" spans="1:9" x14ac:dyDescent="0.3">
      <c r="A87" s="100" t="s">
        <v>418</v>
      </c>
      <c r="B87" s="83" t="s">
        <v>23</v>
      </c>
      <c r="C87" s="161" t="str">
        <f>COMPOSIÇÃO!A304</f>
        <v>COMPOSIÇÃO 46</v>
      </c>
      <c r="D87" s="81" t="str">
        <f>COMPOSIÇÃO!D304</f>
        <v>"T" VERTICAL DESCIDA 90° - 200X50MM - FORNECIMENTO E INSTALAÇÃO</v>
      </c>
      <c r="E87" s="93" t="str">
        <f>COMPOSIÇÃO!E304</f>
        <v xml:space="preserve">UN </v>
      </c>
      <c r="F87" s="91">
        <v>1</v>
      </c>
      <c r="G87" s="96">
        <f>COMPOSIÇÃO!H304</f>
        <v>69.260000000000005</v>
      </c>
      <c r="H87" s="48">
        <f t="shared" si="2"/>
        <v>88.89</v>
      </c>
      <c r="I87" s="50">
        <f t="shared" si="3"/>
        <v>88.89</v>
      </c>
    </row>
    <row r="88" spans="1:9" ht="27.6" x14ac:dyDescent="0.3">
      <c r="A88" s="100" t="s">
        <v>419</v>
      </c>
      <c r="B88" s="83" t="s">
        <v>23</v>
      </c>
      <c r="C88" s="161" t="str">
        <f>COMPOSIÇÃO!A310</f>
        <v>COMPOSIÇÃO 47</v>
      </c>
      <c r="D88" s="81" t="str">
        <f>COMPOSIÇÃO!D310</f>
        <v>CURVA 90° HORIZONTAL ELETROCALHA 100X50MM - FORNECIMENTO E INSTALAÇÃO</v>
      </c>
      <c r="E88" s="93" t="str">
        <f>COMPOSIÇÃO!E310</f>
        <v xml:space="preserve">UN </v>
      </c>
      <c r="F88" s="91">
        <v>4</v>
      </c>
      <c r="G88" s="96">
        <f>COMPOSIÇÃO!H310</f>
        <v>43.4</v>
      </c>
      <c r="H88" s="48">
        <f t="shared" si="2"/>
        <v>55.7</v>
      </c>
      <c r="I88" s="50">
        <f t="shared" si="3"/>
        <v>222.8</v>
      </c>
    </row>
    <row r="89" spans="1:9" ht="27.6" x14ac:dyDescent="0.3">
      <c r="A89" s="100" t="s">
        <v>420</v>
      </c>
      <c r="B89" s="83" t="s">
        <v>23</v>
      </c>
      <c r="C89" s="161" t="str">
        <f>COMPOSIÇÃO!A316</f>
        <v>COMPOSIÇÃO 48</v>
      </c>
      <c r="D89" s="81" t="str">
        <f>COMPOSIÇÃO!D316</f>
        <v>CURVA 90° HORIZONTAL ELETROCALHA 200X50MM - FORNECIMENTO E INSTALAÇÃO</v>
      </c>
      <c r="E89" s="93" t="str">
        <f>COMPOSIÇÃO!E316</f>
        <v xml:space="preserve">UN </v>
      </c>
      <c r="F89" s="91">
        <v>9</v>
      </c>
      <c r="G89" s="96">
        <f>COMPOSIÇÃO!H316</f>
        <v>66.240000000000009</v>
      </c>
      <c r="H89" s="48">
        <f t="shared" si="2"/>
        <v>85.01</v>
      </c>
      <c r="I89" s="50">
        <f t="shared" si="3"/>
        <v>765.09</v>
      </c>
    </row>
    <row r="90" spans="1:9" x14ac:dyDescent="0.3">
      <c r="A90" s="100" t="s">
        <v>421</v>
      </c>
      <c r="B90" s="83" t="s">
        <v>23</v>
      </c>
      <c r="C90" s="161" t="str">
        <f>COMPOSIÇÃO!A322</f>
        <v>COMPOSIÇÃO 49</v>
      </c>
      <c r="D90" s="81" t="str">
        <f>COMPOSIÇÃO!D322</f>
        <v>CURVA VERTICAL EXTERNA 90° - 200X50MM - FORNECIMENTO E INSTALAÇÃO</v>
      </c>
      <c r="E90" s="93" t="str">
        <f>COMPOSIÇÃO!E322</f>
        <v xml:space="preserve">UN </v>
      </c>
      <c r="F90" s="91">
        <v>2</v>
      </c>
      <c r="G90" s="96">
        <f>COMPOSIÇÃO!H322</f>
        <v>30.509999999999998</v>
      </c>
      <c r="H90" s="48">
        <f t="shared" si="2"/>
        <v>39.15</v>
      </c>
      <c r="I90" s="50">
        <f t="shared" si="3"/>
        <v>78.3</v>
      </c>
    </row>
    <row r="91" spans="1:9" x14ac:dyDescent="0.3">
      <c r="A91" s="100" t="s">
        <v>548</v>
      </c>
      <c r="B91" s="83" t="s">
        <v>23</v>
      </c>
      <c r="C91" s="161" t="str">
        <f>COMPOSIÇÃO!A328</f>
        <v>COMPOSIÇÃO 50</v>
      </c>
      <c r="D91" s="81" t="str">
        <f>COMPOSIÇÃO!D328</f>
        <v>CURVA VERTICAL EXTERNA 90° - 200X100MM - FORNECIMENTO E INSTALAÇÃO</v>
      </c>
      <c r="E91" s="93" t="str">
        <f>COMPOSIÇÃO!E328</f>
        <v xml:space="preserve">UN </v>
      </c>
      <c r="F91" s="91">
        <v>2</v>
      </c>
      <c r="G91" s="96">
        <f>COMPOSIÇÃO!H328</f>
        <v>69.460000000000008</v>
      </c>
      <c r="H91" s="48">
        <f t="shared" si="2"/>
        <v>89.15</v>
      </c>
      <c r="I91" s="50">
        <f t="shared" si="3"/>
        <v>178.3</v>
      </c>
    </row>
    <row r="92" spans="1:9" x14ac:dyDescent="0.3">
      <c r="A92" s="100" t="s">
        <v>464</v>
      </c>
      <c r="B92" s="83" t="s">
        <v>23</v>
      </c>
      <c r="C92" s="161" t="str">
        <f>COMPOSIÇÃO!A334</f>
        <v>COMPOSIÇÃO 51</v>
      </c>
      <c r="D92" s="81" t="str">
        <f>COMPOSIÇÃO!D334</f>
        <v>SAÍDA ELETROCALHA PARA ELETRODUTO  3/4" - FORNECIMENTO E INSTALAÇÃO</v>
      </c>
      <c r="E92" s="93" t="str">
        <f>COMPOSIÇÃO!E334</f>
        <v xml:space="preserve">UN </v>
      </c>
      <c r="F92" s="91">
        <v>39</v>
      </c>
      <c r="G92" s="96">
        <f>COMPOSIÇÃO!H334</f>
        <v>13.530000000000001</v>
      </c>
      <c r="H92" s="48">
        <f t="shared" si="2"/>
        <v>17.36</v>
      </c>
      <c r="I92" s="50">
        <f t="shared" si="3"/>
        <v>677.04</v>
      </c>
    </row>
    <row r="93" spans="1:9" ht="27.6" x14ac:dyDescent="0.3">
      <c r="A93" s="100" t="s">
        <v>499</v>
      </c>
      <c r="B93" s="83" t="s">
        <v>23</v>
      </c>
      <c r="C93" s="161" t="str">
        <f>COMPOSIÇÃO!A340</f>
        <v>COMPOSIÇÃO 52</v>
      </c>
      <c r="D93" s="81" t="str">
        <f>COMPOSIÇÃO!D340</f>
        <v>ACOPLAMENTO LATERAL SIMPLES ELETROCALHA P/ PERFILADO 38X38MM - FORNECIMENTO E INSTALAÇÃO</v>
      </c>
      <c r="E93" s="93" t="str">
        <f>COMPOSIÇÃO!E340</f>
        <v>UN</v>
      </c>
      <c r="F93" s="91">
        <v>31</v>
      </c>
      <c r="G93" s="96">
        <f>COMPOSIÇÃO!H340</f>
        <v>14.129999999999999</v>
      </c>
      <c r="H93" s="48">
        <f t="shared" si="2"/>
        <v>18.13</v>
      </c>
      <c r="I93" s="50">
        <f t="shared" si="3"/>
        <v>562.03</v>
      </c>
    </row>
    <row r="94" spans="1:9" x14ac:dyDescent="0.3">
      <c r="A94" s="100" t="s">
        <v>500</v>
      </c>
      <c r="B94" s="83" t="s">
        <v>23</v>
      </c>
      <c r="C94" s="161" t="str">
        <f>COMPOSIÇÃO!A346</f>
        <v>COMPOSIÇÃO 53</v>
      </c>
      <c r="D94" s="185" t="str">
        <f>COMPOSIÇÃO!D346</f>
        <v>CANALETA DE ALUMÍNIO COM TAMPA - 73X25MM - FORNECIMENTO E INSTALAÇÃO</v>
      </c>
      <c r="E94" s="93" t="str">
        <f>COMPOSIÇÃO!E346</f>
        <v>M</v>
      </c>
      <c r="F94" s="91">
        <v>432.8</v>
      </c>
      <c r="G94" s="96">
        <f>COMPOSIÇÃO!H346</f>
        <v>128.65</v>
      </c>
      <c r="H94" s="48">
        <f t="shared" si="2"/>
        <v>165.11</v>
      </c>
      <c r="I94" s="50">
        <f t="shared" si="3"/>
        <v>71459.600000000006</v>
      </c>
    </row>
    <row r="95" spans="1:9" ht="27.6" x14ac:dyDescent="0.3">
      <c r="A95" s="100" t="s">
        <v>501</v>
      </c>
      <c r="B95" s="83" t="s">
        <v>23</v>
      </c>
      <c r="C95" s="161" t="str">
        <f>COMPOSIÇÃO!A354</f>
        <v>COMPOSIÇÃO 54</v>
      </c>
      <c r="D95" s="81" t="str">
        <f>COMPOSIÇÃO!D354</f>
        <v>CURVA HORIZONTAL 90° PARA CANALETA DE ALUMÍNIO 73X25MM - FORNECIMENTO E INSTALAÇÃO</v>
      </c>
      <c r="E95" s="93" t="str">
        <f>COMPOSIÇÃO!E354</f>
        <v>UN</v>
      </c>
      <c r="F95" s="91">
        <v>23</v>
      </c>
      <c r="G95" s="96">
        <f>COMPOSIÇÃO!H354</f>
        <v>70.11</v>
      </c>
      <c r="H95" s="48">
        <f t="shared" ref="H95:H105" si="14">TRUNC(G95*(1+$F$9),2)</f>
        <v>89.98</v>
      </c>
      <c r="I95" s="50">
        <f t="shared" ref="I95:I106" si="15">TRUNC(H95*F95,2)</f>
        <v>2069.54</v>
      </c>
    </row>
    <row r="96" spans="1:9" ht="27.6" x14ac:dyDescent="0.3">
      <c r="A96" s="100" t="s">
        <v>502</v>
      </c>
      <c r="B96" s="83" t="s">
        <v>23</v>
      </c>
      <c r="C96" s="161" t="str">
        <f>COMPOSIÇÃO!A360</f>
        <v>COMPOSIÇÃO 55</v>
      </c>
      <c r="D96" s="81" t="str">
        <f>COMPOSIÇÃO!D360</f>
        <v>CURVA VERTICAL INTERNA  90° PARA CANALETA DE ALUMÍNIO 73X25MM - FORNECIMENTO E INSTALAÇÃO</v>
      </c>
      <c r="E96" s="93" t="str">
        <f>COMPOSIÇÃO!E360</f>
        <v>UN</v>
      </c>
      <c r="F96" s="91">
        <v>25</v>
      </c>
      <c r="G96" s="96">
        <f>COMPOSIÇÃO!H360</f>
        <v>52.160000000000004</v>
      </c>
      <c r="H96" s="48">
        <f t="shared" si="14"/>
        <v>66.94</v>
      </c>
      <c r="I96" s="50">
        <f t="shared" si="15"/>
        <v>1673.5</v>
      </c>
    </row>
    <row r="97" spans="1:11" ht="27.6" x14ac:dyDescent="0.3">
      <c r="A97" s="100" t="s">
        <v>503</v>
      </c>
      <c r="B97" s="83" t="s">
        <v>23</v>
      </c>
      <c r="C97" s="161" t="str">
        <f>COMPOSIÇÃO!A366</f>
        <v>COMPOSIÇÃO 56</v>
      </c>
      <c r="D97" s="81" t="str">
        <f>COMPOSIÇÃO!D366</f>
        <v>ADAPTADOR CANALETA DE ALUMÍNIO 73X25MM PARA ELETRODUTO - FORNECIMENTO E INSTALAÇÃO</v>
      </c>
      <c r="E97" s="93" t="str">
        <f>COMPOSIÇÃO!E366</f>
        <v>UN</v>
      </c>
      <c r="F97" s="91">
        <v>27</v>
      </c>
      <c r="G97" s="96">
        <f>COMPOSIÇÃO!H366</f>
        <v>65.59</v>
      </c>
      <c r="H97" s="48">
        <f t="shared" si="14"/>
        <v>84.18</v>
      </c>
      <c r="I97" s="50">
        <f t="shared" si="15"/>
        <v>2272.86</v>
      </c>
    </row>
    <row r="98" spans="1:11" x14ac:dyDescent="0.3">
      <c r="A98" s="100" t="s">
        <v>504</v>
      </c>
      <c r="B98" s="83" t="s">
        <v>23</v>
      </c>
      <c r="C98" s="161" t="str">
        <f>COMPOSIÇÃO!A372</f>
        <v>COMPOSIÇÃO 57</v>
      </c>
      <c r="D98" s="185" t="str">
        <f>COMPOSIÇÃO!D372</f>
        <v>CAIXA DE DERIVAÇÃO PARA CANALETA 73X25MM - FORNECIMENTO E INSTALAÇÃO</v>
      </c>
      <c r="E98" s="93" t="str">
        <f>COMPOSIÇÃO!E372</f>
        <v>UN</v>
      </c>
      <c r="F98" s="91">
        <v>42</v>
      </c>
      <c r="G98" s="96">
        <f>COMPOSIÇÃO!H372</f>
        <v>88.820000000000007</v>
      </c>
      <c r="H98" s="48">
        <f t="shared" si="14"/>
        <v>113.99</v>
      </c>
      <c r="I98" s="50">
        <f t="shared" si="15"/>
        <v>4787.58</v>
      </c>
    </row>
    <row r="99" spans="1:11" x14ac:dyDescent="0.3">
      <c r="A99" s="100" t="s">
        <v>609</v>
      </c>
      <c r="B99" s="83" t="s">
        <v>23</v>
      </c>
      <c r="C99" s="161" t="str">
        <f>COMPOSIÇÃO!A378</f>
        <v>COMPOSIÇÃO 58</v>
      </c>
      <c r="D99" s="185" t="str">
        <f>COMPOSIÇÃO!D378</f>
        <v>CONECTOR MACHO RJ - 45, CATEGORIA 6 - FORNECIMENTO E INSTALAÇÃO</v>
      </c>
      <c r="E99" s="93" t="str">
        <f>COMPOSIÇÃO!E378</f>
        <v>UN</v>
      </c>
      <c r="F99" s="91">
        <v>515</v>
      </c>
      <c r="G99" s="96">
        <f>COMPOSIÇÃO!H378</f>
        <v>9.629999999999999</v>
      </c>
      <c r="H99" s="48">
        <f t="shared" si="14"/>
        <v>12.35</v>
      </c>
      <c r="I99" s="50">
        <f t="shared" si="15"/>
        <v>6360.25</v>
      </c>
    </row>
    <row r="100" spans="1:11" x14ac:dyDescent="0.3">
      <c r="A100" s="100" t="s">
        <v>610</v>
      </c>
      <c r="B100" s="83" t="s">
        <v>23</v>
      </c>
      <c r="C100" s="161" t="str">
        <f>COMPOSIÇÃO!A384</f>
        <v>COMPOSIÇÃO 59</v>
      </c>
      <c r="D100" s="81" t="str">
        <f>COMPOSIÇÃO!D384</f>
        <v>PLACA CEGA - PARA CAIXA DE EMBUTIR 4X2" - FORNECIMENTO E INSTALAÇÃO</v>
      </c>
      <c r="E100" s="93" t="str">
        <f>COMPOSIÇÃO!E384</f>
        <v>UN</v>
      </c>
      <c r="F100" s="91">
        <v>17</v>
      </c>
      <c r="G100" s="96">
        <f>COMPOSIÇÃO!H384</f>
        <v>46.930000000000007</v>
      </c>
      <c r="H100" s="48">
        <f t="shared" si="14"/>
        <v>60.23</v>
      </c>
      <c r="I100" s="50">
        <f t="shared" si="15"/>
        <v>1023.91</v>
      </c>
    </row>
    <row r="101" spans="1:11" ht="41.4" x14ac:dyDescent="0.3">
      <c r="A101" s="100" t="s">
        <v>611</v>
      </c>
      <c r="B101" s="83" t="s">
        <v>23</v>
      </c>
      <c r="C101" s="161" t="str">
        <f>COMPOSIÇÃO!A391</f>
        <v>COMPOSIÇÃO 60</v>
      </c>
      <c r="D101" s="81" t="str">
        <f>COMPOSIÇÃO!D391</f>
        <v>CONDULETE DE ALUMÍNIO, TIPO X, PARA ELETRODUTO DE AÇO GALVANIZADO DN 20 MM (3/4''), APARENTE, COM TAMPA CEGA - FORNECIMENTO E INSTALAÇÃO. AF_11/2016_P</v>
      </c>
      <c r="E101" s="93" t="str">
        <f>COMPOSIÇÃO!E385</f>
        <v>UN</v>
      </c>
      <c r="F101" s="91">
        <v>10</v>
      </c>
      <c r="G101" s="96">
        <f>COMPOSIÇÃO!H391</f>
        <v>40.04</v>
      </c>
      <c r="H101" s="48">
        <f t="shared" ref="H101" si="16">TRUNC(G101*(1+$F$9),2)</f>
        <v>51.39</v>
      </c>
      <c r="I101" s="50">
        <f t="shared" ref="I101" si="17">TRUNC(H101*F101,2)</f>
        <v>513.9</v>
      </c>
    </row>
    <row r="102" spans="1:11" ht="27.6" x14ac:dyDescent="0.3">
      <c r="A102" s="100" t="s">
        <v>612</v>
      </c>
      <c r="B102" s="83" t="s">
        <v>23</v>
      </c>
      <c r="C102" s="161" t="str">
        <f>COMPOSIÇÃO!A399</f>
        <v>COMPOSIÇÃO 61</v>
      </c>
      <c r="D102" s="81" t="str">
        <f>COMPOSIÇÃO!D399</f>
        <v>TOMADA DE REDE COM 1 MÓDULO - RJ45 - PARA CAIXA DE EMBUTIR 4X2" - FORNECIMENTO E INSTALAÇÃO</v>
      </c>
      <c r="E102" s="93" t="str">
        <f>COMPOSIÇÃO!E399</f>
        <v>UN</v>
      </c>
      <c r="F102" s="91">
        <v>118</v>
      </c>
      <c r="G102" s="96">
        <f>COMPOSIÇÃO!H399</f>
        <v>39.700000000000003</v>
      </c>
      <c r="H102" s="48">
        <f t="shared" si="14"/>
        <v>50.95</v>
      </c>
      <c r="I102" s="50">
        <f t="shared" si="15"/>
        <v>6012.1</v>
      </c>
    </row>
    <row r="103" spans="1:11" ht="27.6" x14ac:dyDescent="0.3">
      <c r="A103" s="100" t="s">
        <v>613</v>
      </c>
      <c r="B103" s="83" t="s">
        <v>23</v>
      </c>
      <c r="C103" s="161" t="str">
        <f>COMPOSIÇÃO!A407</f>
        <v>COMPOSIÇÃO 62</v>
      </c>
      <c r="D103" s="81" t="str">
        <f>COMPOSIÇÃO!D407</f>
        <v>TOMADA DE REDE COM 1 MÓDULO - RJ45 - PARA CONDULETE DE ALUMÍNIO 3/4" - FORNECIMENTO E INSTALAÇÃO</v>
      </c>
      <c r="E103" s="93" t="str">
        <f>COMPOSIÇÃO!E407</f>
        <v>UN</v>
      </c>
      <c r="F103" s="91">
        <v>20</v>
      </c>
      <c r="G103" s="96">
        <f>COMPOSIÇÃO!H407</f>
        <v>72.349999999999994</v>
      </c>
      <c r="H103" s="48">
        <f>TRUNC(G103*(1+$F$9),2)</f>
        <v>92.85</v>
      </c>
      <c r="I103" s="50">
        <f>TRUNC(H103*F103,2)</f>
        <v>1857</v>
      </c>
    </row>
    <row r="104" spans="1:11" ht="27.6" x14ac:dyDescent="0.3">
      <c r="A104" s="100" t="s">
        <v>614</v>
      </c>
      <c r="B104" s="83" t="s">
        <v>23</v>
      </c>
      <c r="C104" s="161" t="str">
        <f>COMPOSIÇÃO!A415</f>
        <v>COMPOSIÇÃO 63</v>
      </c>
      <c r="D104" s="81" t="str">
        <f>COMPOSIÇÃO!D415</f>
        <v>PLACA COM 1 MÓDULO - RJ45 - PARA PORTA EQUIPAMENTO DA CANALETA DE ALUMÍNIO - FORNECIMENTO E INSTALAÇÃO</v>
      </c>
      <c r="E104" s="93" t="str">
        <f>COMPOSIÇÃO!E415</f>
        <v>UN</v>
      </c>
      <c r="F104" s="91">
        <v>171</v>
      </c>
      <c r="G104" s="96">
        <f>COMPOSIÇÃO!H415</f>
        <v>37.06</v>
      </c>
      <c r="H104" s="48">
        <f t="shared" si="14"/>
        <v>47.56</v>
      </c>
      <c r="I104" s="50">
        <f t="shared" si="15"/>
        <v>8132.76</v>
      </c>
    </row>
    <row r="105" spans="1:11" ht="27.6" x14ac:dyDescent="0.3">
      <c r="A105" s="100" t="s">
        <v>615</v>
      </c>
      <c r="B105" s="83" t="s">
        <v>23</v>
      </c>
      <c r="C105" s="161" t="str">
        <f>COMPOSIÇÃO!A422</f>
        <v>COMPOSIÇÃO 64</v>
      </c>
      <c r="D105" s="81" t="str">
        <f>COMPOSIÇÃO!D422</f>
        <v>PLACA COM 2 MÓDULOS - RJ45 - PARA PORTA EQUIPAMENTO DA CANALETA DE ALUMÍNIO - FORNECIMENTO E INSTALAÇÃO</v>
      </c>
      <c r="E105" s="93" t="str">
        <f>COMPOSIÇÃO!E422</f>
        <v>UN</v>
      </c>
      <c r="F105" s="91">
        <v>103</v>
      </c>
      <c r="G105" s="96">
        <f>COMPOSIÇÃO!H422</f>
        <v>61.230000000000004</v>
      </c>
      <c r="H105" s="48">
        <f t="shared" si="14"/>
        <v>78.58</v>
      </c>
      <c r="I105" s="50">
        <f t="shared" si="15"/>
        <v>8093.74</v>
      </c>
    </row>
    <row r="106" spans="1:11" ht="27.6" x14ac:dyDescent="0.3">
      <c r="A106" s="100" t="s">
        <v>616</v>
      </c>
      <c r="B106" s="231" t="s">
        <v>23</v>
      </c>
      <c r="C106" s="232" t="str">
        <f>COMPOSIÇÃO!A429</f>
        <v>COMPOSIÇÃO 65</v>
      </c>
      <c r="D106" s="233" t="str">
        <f>COMPOSIÇÃO!D429</f>
        <v>PORTA EQUIPAMENTOS P/ 3 RJ45 - PARA CANALETA DE ALUMÍNIO - FORNECIMENTO E INSTALAÇÃO</v>
      </c>
      <c r="E106" s="234" t="str">
        <f>COMPOSIÇÃO!E429</f>
        <v>UN</v>
      </c>
      <c r="F106" s="235">
        <v>274</v>
      </c>
      <c r="G106" s="236">
        <f>COMPOSIÇÃO!H429</f>
        <v>41.510000000000005</v>
      </c>
      <c r="H106" s="236">
        <f t="shared" ref="H106" si="18">TRUNC(G106*(1+$F$9),2)</f>
        <v>53.27</v>
      </c>
      <c r="I106" s="237">
        <f t="shared" si="15"/>
        <v>14595.98</v>
      </c>
    </row>
    <row r="107" spans="1:11" ht="14.4" thickBot="1" x14ac:dyDescent="0.35">
      <c r="A107" s="110"/>
      <c r="B107" s="89"/>
      <c r="C107" s="89"/>
      <c r="D107" s="90"/>
      <c r="E107" s="88"/>
      <c r="F107" s="118"/>
      <c r="G107" s="27"/>
      <c r="H107" s="27"/>
      <c r="I107" s="55"/>
    </row>
    <row r="108" spans="1:11" x14ac:dyDescent="0.3">
      <c r="A108" s="121">
        <v>3</v>
      </c>
      <c r="B108" s="203"/>
      <c r="C108" s="203"/>
      <c r="D108" s="200" t="s">
        <v>55</v>
      </c>
      <c r="E108" s="203"/>
      <c r="F108" s="316" t="s">
        <v>32</v>
      </c>
      <c r="G108" s="316"/>
      <c r="H108" s="316"/>
      <c r="I108" s="122">
        <f>SUM(I109:I111)</f>
        <v>82803.100000000006</v>
      </c>
    </row>
    <row r="109" spans="1:11" ht="27.6" x14ac:dyDescent="0.3">
      <c r="A109" s="100" t="s">
        <v>92</v>
      </c>
      <c r="B109" s="83" t="s">
        <v>23</v>
      </c>
      <c r="C109" s="83">
        <v>99802</v>
      </c>
      <c r="D109" s="116" t="s">
        <v>183</v>
      </c>
      <c r="E109" s="93" t="s">
        <v>73</v>
      </c>
      <c r="F109" s="91">
        <v>3097.51</v>
      </c>
      <c r="G109" s="96">
        <v>0.37</v>
      </c>
      <c r="H109" s="48">
        <f t="shared" ref="H109:H110" si="19">TRUNC(G109*(1+$F$9),2)</f>
        <v>0.47</v>
      </c>
      <c r="I109" s="50">
        <f t="shared" ref="I109" si="20">TRUNC(H109*F109,2)</f>
        <v>1455.82</v>
      </c>
    </row>
    <row r="110" spans="1:11" x14ac:dyDescent="0.3">
      <c r="A110" s="170" t="s">
        <v>171</v>
      </c>
      <c r="B110" s="83" t="s">
        <v>23</v>
      </c>
      <c r="C110" s="83" t="str">
        <f>COMPOSIÇÃO!A436</f>
        <v>COMPOSIÇÃO 66</v>
      </c>
      <c r="D110" s="185" t="str">
        <f>COMPOSIÇÃO!D436</f>
        <v xml:space="preserve">CONECTORIZAÇÃO, FECHAMENTO DE RACK E CERTIFICAÇÃO DE PONTOS DE LÓGICA </v>
      </c>
      <c r="E110" s="83" t="str">
        <f>COMPOSIÇÃO!E436</f>
        <v>UN</v>
      </c>
      <c r="F110" s="91">
        <v>1020</v>
      </c>
      <c r="G110" s="96">
        <f>COMPOSIÇÃO!H436</f>
        <v>54.94</v>
      </c>
      <c r="H110" s="48">
        <f t="shared" si="19"/>
        <v>70.510000000000005</v>
      </c>
      <c r="I110" s="50">
        <f t="shared" ref="I110" si="21">TRUNC(H110*F110,2)</f>
        <v>71920.2</v>
      </c>
      <c r="K110" s="183"/>
    </row>
    <row r="111" spans="1:11" ht="14.4" thickBot="1" x14ac:dyDescent="0.35">
      <c r="A111" s="171" t="s">
        <v>455</v>
      </c>
      <c r="B111" s="172" t="s">
        <v>23</v>
      </c>
      <c r="C111" s="172" t="str">
        <f>COMPOSIÇÃO!A440</f>
        <v>COMPOSIÇÃO 67</v>
      </c>
      <c r="D111" s="173" t="str">
        <f>COMPOSIÇÃO!D440</f>
        <v>FUSÃO E CERTIFICAÇÃO DE FIBRA ÓPTICA</v>
      </c>
      <c r="E111" s="172" t="str">
        <f>COMPOSIÇÃO!E440</f>
        <v>UN</v>
      </c>
      <c r="F111" s="174">
        <v>156</v>
      </c>
      <c r="G111" s="175">
        <f>COMPOSIÇÃO!H440</f>
        <v>47.09</v>
      </c>
      <c r="H111" s="176">
        <f t="shared" ref="H111" si="22">TRUNC(G111*(1+$F$9),2)</f>
        <v>60.43</v>
      </c>
      <c r="I111" s="177">
        <f t="shared" ref="I111" si="23">TRUNC(H111*F111,2)</f>
        <v>9427.08</v>
      </c>
      <c r="K111" s="183"/>
    </row>
    <row r="112" spans="1:11" ht="14.4" thickBot="1" x14ac:dyDescent="0.35">
      <c r="A112" s="110"/>
      <c r="B112" s="89"/>
      <c r="C112" s="89"/>
      <c r="D112" s="90"/>
      <c r="E112" s="88"/>
      <c r="F112" s="118"/>
      <c r="G112" s="27"/>
      <c r="H112" s="27"/>
      <c r="I112" s="55"/>
    </row>
    <row r="113" spans="1:9" ht="14.4" thickBot="1" x14ac:dyDescent="0.35">
      <c r="A113" s="209">
        <v>4</v>
      </c>
      <c r="B113" s="210"/>
      <c r="C113" s="210"/>
      <c r="D113" s="211" t="s">
        <v>443</v>
      </c>
      <c r="E113" s="210"/>
      <c r="F113" s="318"/>
      <c r="G113" s="318"/>
      <c r="H113" s="318"/>
      <c r="I113" s="212">
        <f>SUM(I19,I24,I108)-I115</f>
        <v>567332.17999999993</v>
      </c>
    </row>
    <row r="114" spans="1:9" ht="14.4" thickBot="1" x14ac:dyDescent="0.35">
      <c r="A114" s="110"/>
      <c r="B114" s="89"/>
      <c r="C114" s="89"/>
      <c r="D114" s="90"/>
      <c r="E114" s="88"/>
      <c r="F114" s="118"/>
      <c r="G114" s="27"/>
      <c r="H114" s="27"/>
      <c r="I114" s="55"/>
    </row>
    <row r="115" spans="1:9" ht="14.4" thickBot="1" x14ac:dyDescent="0.35">
      <c r="A115" s="209">
        <v>5</v>
      </c>
      <c r="B115" s="210"/>
      <c r="C115" s="210"/>
      <c r="D115" s="211" t="s">
        <v>444</v>
      </c>
      <c r="E115" s="210"/>
      <c r="F115" s="318"/>
      <c r="G115" s="318"/>
      <c r="H115" s="318"/>
      <c r="I115" s="212">
        <f>SUM(I39,I40)</f>
        <v>103432.45</v>
      </c>
    </row>
    <row r="116" spans="1:9" ht="14.4" thickBot="1" x14ac:dyDescent="0.35">
      <c r="A116" s="110"/>
      <c r="B116" s="89"/>
      <c r="C116" s="89"/>
      <c r="D116" s="90"/>
      <c r="E116" s="88"/>
      <c r="F116" s="118"/>
      <c r="G116" s="27"/>
      <c r="H116" s="27"/>
      <c r="I116" s="55"/>
    </row>
    <row r="117" spans="1:9" ht="14.4" thickBot="1" x14ac:dyDescent="0.35">
      <c r="A117" s="209">
        <v>6</v>
      </c>
      <c r="B117" s="210"/>
      <c r="C117" s="210"/>
      <c r="D117" s="211" t="s">
        <v>56</v>
      </c>
      <c r="E117" s="210"/>
      <c r="F117" s="318"/>
      <c r="G117" s="318"/>
      <c r="H117" s="318"/>
      <c r="I117" s="212">
        <f>SUM(I19,I24,I108)</f>
        <v>670764.62999999989</v>
      </c>
    </row>
    <row r="118" spans="1:9" x14ac:dyDescent="0.3">
      <c r="A118" s="20"/>
      <c r="B118" s="20"/>
      <c r="C118" s="20"/>
      <c r="D118" s="20"/>
      <c r="E118" s="20"/>
      <c r="F118" s="20"/>
      <c r="G118" s="20"/>
      <c r="H118" s="27"/>
      <c r="I118" s="27"/>
    </row>
  </sheetData>
  <mergeCells count="22">
    <mergeCell ref="F117:H117"/>
    <mergeCell ref="F115:H115"/>
    <mergeCell ref="F113:H113"/>
    <mergeCell ref="B9:D9"/>
    <mergeCell ref="B11:C11"/>
    <mergeCell ref="A14:I14"/>
    <mergeCell ref="F16:F17"/>
    <mergeCell ref="A16:A17"/>
    <mergeCell ref="B16:B17"/>
    <mergeCell ref="C16:C17"/>
    <mergeCell ref="D16:D17"/>
    <mergeCell ref="E16:E17"/>
    <mergeCell ref="G16:G17"/>
    <mergeCell ref="H16:H17"/>
    <mergeCell ref="H12:I12"/>
    <mergeCell ref="I16:I17"/>
    <mergeCell ref="F19:H19"/>
    <mergeCell ref="F24:H24"/>
    <mergeCell ref="F108:H108"/>
    <mergeCell ref="F25:H25"/>
    <mergeCell ref="F38:H38"/>
    <mergeCell ref="F44:H44"/>
  </mergeCells>
  <phoneticPr fontId="19" type="noConversion"/>
  <printOptions horizontalCentered="1"/>
  <pageMargins left="0.19685039370078741" right="0.19685039370078741" top="0.19685039370078741" bottom="0.59055118110236227" header="0.19685039370078741" footer="0.19685039370078741"/>
  <pageSetup paperSize="9" scale="58" fitToHeight="0" orientation="portrait" r:id="rId1"/>
  <headerFooter>
    <oddHeader xml:space="preserve">&amp;C
</oddHeader>
    <oddFooter xml:space="preserve">&amp;CPágina &amp;P de &amp;N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2"/>
  <sheetViews>
    <sheetView showGridLines="0" tabSelected="1" view="pageBreakPreview" topLeftCell="A13" zoomScaleNormal="100" zoomScaleSheetLayoutView="100" zoomScalePageLayoutView="85" workbookViewId="0">
      <selection activeCell="A27" sqref="A27:H27"/>
    </sheetView>
  </sheetViews>
  <sheetFormatPr defaultColWidth="9.109375" defaultRowHeight="13.8" x14ac:dyDescent="0.3"/>
  <cols>
    <col min="1" max="1" width="18.6640625" style="1" bestFit="1" customWidth="1"/>
    <col min="2" max="2" width="9.109375" style="1" customWidth="1"/>
    <col min="3" max="3" width="11.33203125" style="1" customWidth="1"/>
    <col min="4" max="4" width="67.44140625" style="1" customWidth="1"/>
    <col min="5" max="5" width="13.6640625" style="1" customWidth="1"/>
    <col min="6" max="6" width="12.44140625" style="1" customWidth="1"/>
    <col min="7" max="7" width="15.109375" style="29" customWidth="1"/>
    <col min="8" max="8" width="15.5546875" style="29" customWidth="1"/>
    <col min="9" max="9" width="13.5546875" style="107" bestFit="1" customWidth="1"/>
    <col min="10" max="10" width="11.5546875" style="1" bestFit="1" customWidth="1"/>
    <col min="11" max="16384" width="9.109375" style="1"/>
  </cols>
  <sheetData>
    <row r="1" spans="1:8" x14ac:dyDescent="0.3">
      <c r="A1" s="17"/>
      <c r="B1" s="18"/>
      <c r="C1" s="18"/>
      <c r="D1" s="18"/>
      <c r="E1" s="18"/>
      <c r="F1" s="18"/>
      <c r="G1" s="26"/>
      <c r="H1" s="54"/>
    </row>
    <row r="2" spans="1:8" x14ac:dyDescent="0.3">
      <c r="A2" s="21"/>
      <c r="B2" s="20"/>
      <c r="C2" s="20"/>
      <c r="D2" s="20"/>
      <c r="E2" s="20"/>
      <c r="F2" s="20"/>
      <c r="G2" s="27"/>
      <c r="H2" s="55"/>
    </row>
    <row r="3" spans="1:8" x14ac:dyDescent="0.3">
      <c r="A3" s="21"/>
      <c r="B3" s="20"/>
      <c r="C3" s="20"/>
      <c r="D3" s="20"/>
      <c r="E3" s="20"/>
      <c r="F3" s="20"/>
      <c r="G3" s="27"/>
      <c r="H3" s="55"/>
    </row>
    <row r="4" spans="1:8" x14ac:dyDescent="0.3">
      <c r="A4" s="21"/>
      <c r="B4" s="20"/>
      <c r="C4" s="20"/>
      <c r="D4" s="20"/>
      <c r="E4" s="20"/>
      <c r="F4" s="20"/>
      <c r="G4" s="27"/>
      <c r="H4" s="55"/>
    </row>
    <row r="5" spans="1:8" x14ac:dyDescent="0.3">
      <c r="A5" s="21"/>
      <c r="B5" s="20"/>
      <c r="C5" s="20"/>
      <c r="D5" s="20"/>
      <c r="E5" s="20"/>
      <c r="F5" s="20"/>
      <c r="G5" s="27"/>
      <c r="H5" s="55"/>
    </row>
    <row r="6" spans="1:8" x14ac:dyDescent="0.3">
      <c r="A6" s="21"/>
      <c r="B6" s="20"/>
      <c r="C6" s="20"/>
      <c r="D6" s="20"/>
      <c r="E6" s="20"/>
      <c r="F6" s="20"/>
      <c r="G6" s="27"/>
      <c r="H6" s="55"/>
    </row>
    <row r="7" spans="1:8" x14ac:dyDescent="0.3">
      <c r="A7" s="21"/>
      <c r="B7" s="20"/>
      <c r="C7" s="20"/>
      <c r="D7" s="20"/>
      <c r="E7" s="20"/>
      <c r="F7" s="20"/>
      <c r="G7" s="27"/>
      <c r="H7" s="55"/>
    </row>
    <row r="8" spans="1:8" ht="64.2" customHeight="1" thickBot="1" x14ac:dyDescent="0.35">
      <c r="A8" s="21"/>
      <c r="B8" s="20"/>
      <c r="C8" s="20"/>
      <c r="D8" s="20"/>
      <c r="E8" s="20"/>
      <c r="F8" s="20"/>
      <c r="G8" s="27"/>
      <c r="H8" s="55"/>
    </row>
    <row r="9" spans="1:8" ht="13.95" customHeight="1" x14ac:dyDescent="0.3">
      <c r="A9" s="31" t="str">
        <f>CAPA!A10</f>
        <v>OBRA:</v>
      </c>
      <c r="B9" s="319" t="str">
        <f>CAPA!D10</f>
        <v>INSTALAÇÕES ELÉTRICAS/LÓGICAS</v>
      </c>
      <c r="C9" s="319"/>
      <c r="D9" s="319"/>
      <c r="E9" s="32" t="str">
        <f>CAPA!A20</f>
        <v>BDI (SERVIÇOS):</v>
      </c>
      <c r="F9" s="33">
        <f>CAPA!D20</f>
        <v>0.28347674918197008</v>
      </c>
      <c r="G9" s="35" t="str">
        <f>CAPA!C23</f>
        <v>REVISÃO:</v>
      </c>
      <c r="H9" s="56" t="str">
        <f>CAPA!D23</f>
        <v>REV04</v>
      </c>
    </row>
    <row r="10" spans="1:8" x14ac:dyDescent="0.3">
      <c r="A10" s="36" t="str">
        <f>CAPA!A11</f>
        <v>PROPRIETÁRIO:</v>
      </c>
      <c r="B10" s="320" t="str">
        <f>CAPA!D11</f>
        <v>SENAR/MT</v>
      </c>
      <c r="C10" s="320"/>
      <c r="D10" s="320"/>
      <c r="E10" s="37" t="str">
        <f>CAPA!A22</f>
        <v>REFERÊNCIA:</v>
      </c>
      <c r="F10" s="38" t="str">
        <f>CAPA!D22</f>
        <v>SINAPI-MT</v>
      </c>
      <c r="G10" s="30" t="str">
        <f>RESUMO!G15</f>
        <v>DATA BASE:</v>
      </c>
      <c r="H10" s="86" t="str">
        <f>CAPA!I20</f>
        <v>JAN/2022</v>
      </c>
    </row>
    <row r="11" spans="1:8" x14ac:dyDescent="0.3">
      <c r="A11" s="36" t="str">
        <f>CAPA!A12</f>
        <v>MUNICÍPIO:</v>
      </c>
      <c r="B11" s="320" t="str">
        <f>CAPA!D12</f>
        <v>Cuiabá/MT</v>
      </c>
      <c r="C11" s="320"/>
      <c r="D11" s="202"/>
      <c r="E11" s="37" t="str">
        <f>CAPA!F20</f>
        <v>DATA BASE DO ORÇAMENTO:</v>
      </c>
      <c r="F11" s="40" t="str">
        <f>CAPA!D23</f>
        <v>REV04</v>
      </c>
      <c r="G11" s="30" t="str">
        <f>CAPA!F22</f>
        <v>ENCARGOS:</v>
      </c>
      <c r="H11" s="57" t="str">
        <f>CAPA!I22</f>
        <v>Desonerado</v>
      </c>
    </row>
    <row r="12" spans="1:8" ht="15" customHeight="1" x14ac:dyDescent="0.3">
      <c r="A12" s="36" t="str">
        <f>CAPA!A13</f>
        <v>ENDEREÇO:</v>
      </c>
      <c r="B12" s="342" t="str">
        <f>CAPA!D13</f>
        <v xml:space="preserve">Rua Eng. Edgard Prado Arze, S/N , Quadra 01 - Setor A, Centro Político Administrativo
</v>
      </c>
      <c r="C12" s="342"/>
      <c r="D12" s="342"/>
      <c r="E12" s="37" t="str">
        <f>CAPA!F21</f>
        <v>PRAZO DE EXECUÇÃO:</v>
      </c>
      <c r="F12" s="41" t="str">
        <f>CAPA!I21</f>
        <v>03 meses</v>
      </c>
      <c r="G12" s="30"/>
      <c r="H12" s="57"/>
    </row>
    <row r="13" spans="1:8" ht="15.75" customHeight="1" thickBot="1" x14ac:dyDescent="0.35">
      <c r="A13" s="23"/>
      <c r="B13" s="343"/>
      <c r="C13" s="343"/>
      <c r="D13" s="343"/>
      <c r="E13" s="24"/>
      <c r="F13" s="24"/>
      <c r="G13" s="28"/>
      <c r="H13" s="58"/>
    </row>
    <row r="14" spans="1:8" ht="14.4" thickBot="1" x14ac:dyDescent="0.35">
      <c r="A14" s="331" t="s">
        <v>34</v>
      </c>
      <c r="B14" s="332"/>
      <c r="C14" s="332"/>
      <c r="D14" s="332"/>
      <c r="E14" s="332"/>
      <c r="F14" s="332"/>
      <c r="G14" s="332"/>
      <c r="H14" s="333"/>
    </row>
    <row r="15" spans="1:8" ht="14.4" thickBot="1" x14ac:dyDescent="0.35">
      <c r="A15" s="67"/>
      <c r="B15" s="65"/>
      <c r="C15" s="65"/>
      <c r="D15" s="65"/>
      <c r="E15" s="65"/>
      <c r="F15" s="65"/>
      <c r="G15" s="65"/>
      <c r="H15" s="66"/>
    </row>
    <row r="16" spans="1:8" ht="14.4" customHeight="1" x14ac:dyDescent="0.3">
      <c r="A16" s="334" t="s">
        <v>2</v>
      </c>
      <c r="B16" s="336" t="s">
        <v>27</v>
      </c>
      <c r="C16" s="336" t="s">
        <v>28</v>
      </c>
      <c r="D16" s="336" t="s">
        <v>3</v>
      </c>
      <c r="E16" s="336" t="s">
        <v>11</v>
      </c>
      <c r="F16" s="336" t="s">
        <v>9</v>
      </c>
      <c r="G16" s="338" t="s">
        <v>30</v>
      </c>
      <c r="H16" s="340" t="s">
        <v>31</v>
      </c>
    </row>
    <row r="17" spans="1:8" ht="14.4" thickBot="1" x14ac:dyDescent="0.35">
      <c r="A17" s="335"/>
      <c r="B17" s="337"/>
      <c r="C17" s="337"/>
      <c r="D17" s="337"/>
      <c r="E17" s="337"/>
      <c r="F17" s="337"/>
      <c r="G17" s="339"/>
      <c r="H17" s="341"/>
    </row>
    <row r="18" spans="1:8" x14ac:dyDescent="0.3">
      <c r="A18" s="67"/>
      <c r="B18" s="65"/>
      <c r="C18" s="65"/>
      <c r="D18" s="65"/>
      <c r="E18" s="65"/>
      <c r="F18" s="65"/>
      <c r="G18" s="42"/>
      <c r="H18" s="61"/>
    </row>
    <row r="19" spans="1:8" x14ac:dyDescent="0.3">
      <c r="A19" s="215" t="s">
        <v>35</v>
      </c>
      <c r="B19" s="204"/>
      <c r="C19" s="204"/>
      <c r="D19" s="2" t="s">
        <v>108</v>
      </c>
      <c r="E19" s="204" t="s">
        <v>73</v>
      </c>
      <c r="F19" s="329" t="s">
        <v>32</v>
      </c>
      <c r="G19" s="330"/>
      <c r="H19" s="207">
        <f>SUM(H20:H26)</f>
        <v>320.72000000000003</v>
      </c>
    </row>
    <row r="20" spans="1:8" ht="27.6" x14ac:dyDescent="0.3">
      <c r="A20" s="95" t="s">
        <v>36</v>
      </c>
      <c r="B20" s="198" t="s">
        <v>23</v>
      </c>
      <c r="C20" s="136">
        <v>4417</v>
      </c>
      <c r="D20" s="81" t="s">
        <v>355</v>
      </c>
      <c r="E20" s="93" t="s">
        <v>33</v>
      </c>
      <c r="F20" s="53">
        <v>1</v>
      </c>
      <c r="G20" s="48">
        <v>4.8899999999999997</v>
      </c>
      <c r="H20" s="50">
        <f>TRUNC(G20*F20,2)</f>
        <v>4.8899999999999997</v>
      </c>
    </row>
    <row r="21" spans="1:8" x14ac:dyDescent="0.3">
      <c r="A21" s="95" t="s">
        <v>36</v>
      </c>
      <c r="B21" s="198" t="s">
        <v>23</v>
      </c>
      <c r="C21" s="136">
        <v>4491</v>
      </c>
      <c r="D21" s="81" t="s">
        <v>356</v>
      </c>
      <c r="E21" s="93" t="s">
        <v>33</v>
      </c>
      <c r="F21" s="53">
        <v>4</v>
      </c>
      <c r="G21" s="48">
        <v>9.0399999999999991</v>
      </c>
      <c r="H21" s="50">
        <f t="shared" ref="H21:H26" si="0">TRUNC(G21*F21,2)</f>
        <v>36.159999999999997</v>
      </c>
    </row>
    <row r="22" spans="1:8" ht="27.6" x14ac:dyDescent="0.3">
      <c r="A22" s="95" t="s">
        <v>36</v>
      </c>
      <c r="B22" s="198" t="s">
        <v>23</v>
      </c>
      <c r="C22" s="136">
        <v>4813</v>
      </c>
      <c r="D22" s="81" t="s">
        <v>357</v>
      </c>
      <c r="E22" s="93" t="s">
        <v>73</v>
      </c>
      <c r="F22" s="53">
        <v>1</v>
      </c>
      <c r="G22" s="48">
        <v>225</v>
      </c>
      <c r="H22" s="50">
        <f t="shared" si="0"/>
        <v>225</v>
      </c>
    </row>
    <row r="23" spans="1:8" x14ac:dyDescent="0.3">
      <c r="A23" s="95" t="s">
        <v>36</v>
      </c>
      <c r="B23" s="198" t="s">
        <v>23</v>
      </c>
      <c r="C23" s="136">
        <v>5075</v>
      </c>
      <c r="D23" s="81" t="s">
        <v>82</v>
      </c>
      <c r="E23" s="93" t="s">
        <v>74</v>
      </c>
      <c r="F23" s="53">
        <v>0.11</v>
      </c>
      <c r="G23" s="48">
        <v>24.41</v>
      </c>
      <c r="H23" s="50">
        <f t="shared" si="0"/>
        <v>2.68</v>
      </c>
    </row>
    <row r="24" spans="1:8" x14ac:dyDescent="0.3">
      <c r="A24" s="95" t="s">
        <v>37</v>
      </c>
      <c r="B24" s="198" t="s">
        <v>23</v>
      </c>
      <c r="C24" s="149" t="s">
        <v>329</v>
      </c>
      <c r="D24" s="81" t="s">
        <v>83</v>
      </c>
      <c r="E24" s="93" t="s">
        <v>38</v>
      </c>
      <c r="F24" s="53">
        <v>1</v>
      </c>
      <c r="G24" s="48">
        <v>18.63</v>
      </c>
      <c r="H24" s="50">
        <f t="shared" si="0"/>
        <v>18.63</v>
      </c>
    </row>
    <row r="25" spans="1:8" x14ac:dyDescent="0.3">
      <c r="A25" s="95" t="s">
        <v>37</v>
      </c>
      <c r="B25" s="198" t="s">
        <v>23</v>
      </c>
      <c r="C25" s="149" t="s">
        <v>200</v>
      </c>
      <c r="D25" s="81" t="s">
        <v>84</v>
      </c>
      <c r="E25" s="93" t="s">
        <v>38</v>
      </c>
      <c r="F25" s="53">
        <v>2</v>
      </c>
      <c r="G25" s="48">
        <v>15.16</v>
      </c>
      <c r="H25" s="50">
        <f t="shared" si="0"/>
        <v>30.32</v>
      </c>
    </row>
    <row r="26" spans="1:8" ht="27.6" x14ac:dyDescent="0.3">
      <c r="A26" s="95" t="s">
        <v>37</v>
      </c>
      <c r="B26" s="198" t="s">
        <v>23</v>
      </c>
      <c r="C26" s="149" t="s">
        <v>330</v>
      </c>
      <c r="D26" s="81" t="s">
        <v>358</v>
      </c>
      <c r="E26" s="93" t="s">
        <v>80</v>
      </c>
      <c r="F26" s="53">
        <v>0.01</v>
      </c>
      <c r="G26" s="48">
        <v>304.10000000000002</v>
      </c>
      <c r="H26" s="50">
        <f t="shared" si="0"/>
        <v>3.04</v>
      </c>
    </row>
    <row r="27" spans="1:8" x14ac:dyDescent="0.3">
      <c r="A27" s="326" t="s">
        <v>81</v>
      </c>
      <c r="B27" s="327"/>
      <c r="C27" s="327"/>
      <c r="D27" s="327"/>
      <c r="E27" s="327"/>
      <c r="F27" s="327"/>
      <c r="G27" s="327"/>
      <c r="H27" s="328"/>
    </row>
    <row r="28" spans="1:8" x14ac:dyDescent="0.3">
      <c r="A28" s="67"/>
      <c r="B28" s="65"/>
      <c r="C28" s="65"/>
      <c r="D28" s="65"/>
      <c r="E28" s="65"/>
      <c r="F28" s="65"/>
      <c r="G28" s="42"/>
      <c r="H28" s="61"/>
    </row>
    <row r="29" spans="1:8" x14ac:dyDescent="0.3">
      <c r="A29" s="215" t="s">
        <v>39</v>
      </c>
      <c r="B29" s="204"/>
      <c r="C29" s="204"/>
      <c r="D29" s="2" t="s">
        <v>75</v>
      </c>
      <c r="E29" s="204" t="s">
        <v>107</v>
      </c>
      <c r="F29" s="317" t="s">
        <v>32</v>
      </c>
      <c r="G29" s="317"/>
      <c r="H29" s="207">
        <f>SUM(H30:H30)</f>
        <v>13795.11</v>
      </c>
    </row>
    <row r="30" spans="1:8" x14ac:dyDescent="0.3">
      <c r="A30" s="95" t="s">
        <v>77</v>
      </c>
      <c r="B30" s="198" t="s">
        <v>23</v>
      </c>
      <c r="C30" s="149" t="s">
        <v>549</v>
      </c>
      <c r="D30" s="81" t="s">
        <v>106</v>
      </c>
      <c r="E30" s="93" t="s">
        <v>107</v>
      </c>
      <c r="F30" s="53">
        <v>1</v>
      </c>
      <c r="G30" s="48">
        <v>13795.11</v>
      </c>
      <c r="H30" s="50">
        <f t="shared" ref="H30" si="1">TRUNC(G30*F30,2)</f>
        <v>13795.11</v>
      </c>
    </row>
    <row r="31" spans="1:8" x14ac:dyDescent="0.3">
      <c r="A31" s="326" t="s">
        <v>76</v>
      </c>
      <c r="B31" s="327"/>
      <c r="C31" s="327"/>
      <c r="D31" s="327"/>
      <c r="E31" s="327"/>
      <c r="F31" s="327"/>
      <c r="G31" s="327"/>
      <c r="H31" s="328"/>
    </row>
    <row r="32" spans="1:8" x14ac:dyDescent="0.3">
      <c r="A32" s="78"/>
      <c r="B32" s="79"/>
      <c r="C32" s="79"/>
      <c r="D32" s="79"/>
      <c r="E32" s="79"/>
      <c r="F32" s="79"/>
      <c r="G32" s="79"/>
      <c r="H32" s="80"/>
    </row>
    <row r="33" spans="1:8" ht="27.6" x14ac:dyDescent="0.3">
      <c r="A33" s="215" t="s">
        <v>70</v>
      </c>
      <c r="B33" s="204"/>
      <c r="C33" s="204"/>
      <c r="D33" s="135" t="s">
        <v>485</v>
      </c>
      <c r="E33" s="204" t="s">
        <v>13</v>
      </c>
      <c r="F33" s="329" t="s">
        <v>32</v>
      </c>
      <c r="G33" s="330"/>
      <c r="H33" s="207">
        <f>SUM(H34:H37)</f>
        <v>1272.8199999999997</v>
      </c>
    </row>
    <row r="34" spans="1:8" ht="27.6" x14ac:dyDescent="0.3">
      <c r="A34" s="95" t="s">
        <v>36</v>
      </c>
      <c r="B34" s="198" t="s">
        <v>69</v>
      </c>
      <c r="C34" s="150" t="str">
        <f>'MAPA DE COTAÇÃO'!A18</f>
        <v>C001</v>
      </c>
      <c r="D34" s="81" t="s">
        <v>485</v>
      </c>
      <c r="E34" s="93" t="s">
        <v>13</v>
      </c>
      <c r="F34" s="53">
        <v>1</v>
      </c>
      <c r="G34" s="48">
        <f>'MAPA DE COTAÇÃO'!G18</f>
        <v>927.67</v>
      </c>
      <c r="H34" s="50">
        <f t="shared" ref="H34:H37" si="2">TRUNC(G34*F34,2)</f>
        <v>927.67</v>
      </c>
    </row>
    <row r="35" spans="1:8" x14ac:dyDescent="0.3">
      <c r="A35" s="95" t="s">
        <v>36</v>
      </c>
      <c r="B35" s="198" t="s">
        <v>69</v>
      </c>
      <c r="C35" s="150" t="str">
        <f>'MAPA DE COTAÇÃO'!$A$22</f>
        <v>C002</v>
      </c>
      <c r="D35" s="81" t="s">
        <v>192</v>
      </c>
      <c r="E35" s="93" t="s">
        <v>13</v>
      </c>
      <c r="F35" s="53">
        <v>1</v>
      </c>
      <c r="G35" s="48">
        <f>'MAPA DE COTAÇÃO'!G22</f>
        <v>240.99</v>
      </c>
      <c r="H35" s="50">
        <f t="shared" si="2"/>
        <v>240.99</v>
      </c>
    </row>
    <row r="36" spans="1:8" x14ac:dyDescent="0.3">
      <c r="A36" s="95" t="s">
        <v>37</v>
      </c>
      <c r="B36" s="198" t="s">
        <v>23</v>
      </c>
      <c r="C36" s="136">
        <v>88247</v>
      </c>
      <c r="D36" s="81" t="s">
        <v>60</v>
      </c>
      <c r="E36" s="93" t="s">
        <v>38</v>
      </c>
      <c r="F36" s="53">
        <v>3</v>
      </c>
      <c r="G36" s="48">
        <v>15.19</v>
      </c>
      <c r="H36" s="50">
        <f t="shared" si="2"/>
        <v>45.57</v>
      </c>
    </row>
    <row r="37" spans="1:8" x14ac:dyDescent="0.3">
      <c r="A37" s="95" t="s">
        <v>37</v>
      </c>
      <c r="B37" s="198" t="s">
        <v>23</v>
      </c>
      <c r="C37" s="136">
        <v>88264</v>
      </c>
      <c r="D37" s="81" t="s">
        <v>61</v>
      </c>
      <c r="E37" s="93" t="s">
        <v>38</v>
      </c>
      <c r="F37" s="53">
        <v>3</v>
      </c>
      <c r="G37" s="48">
        <v>19.53</v>
      </c>
      <c r="H37" s="50">
        <f t="shared" si="2"/>
        <v>58.59</v>
      </c>
    </row>
    <row r="38" spans="1:8" x14ac:dyDescent="0.3">
      <c r="A38" s="326" t="s">
        <v>539</v>
      </c>
      <c r="B38" s="327"/>
      <c r="C38" s="327"/>
      <c r="D38" s="327"/>
      <c r="E38" s="327"/>
      <c r="F38" s="327"/>
      <c r="G38" s="327"/>
      <c r="H38" s="328"/>
    </row>
    <row r="39" spans="1:8" x14ac:dyDescent="0.3">
      <c r="A39" s="78"/>
      <c r="B39" s="79"/>
      <c r="C39" s="79"/>
      <c r="D39" s="79"/>
      <c r="E39" s="79"/>
      <c r="F39" s="79"/>
      <c r="G39" s="79"/>
      <c r="H39" s="80"/>
    </row>
    <row r="40" spans="1:8" ht="27.6" x14ac:dyDescent="0.3">
      <c r="A40" s="215" t="s">
        <v>71</v>
      </c>
      <c r="B40" s="204"/>
      <c r="C40" s="204"/>
      <c r="D40" s="135" t="s">
        <v>524</v>
      </c>
      <c r="E40" s="204" t="s">
        <v>13</v>
      </c>
      <c r="F40" s="329" t="s">
        <v>32</v>
      </c>
      <c r="G40" s="330"/>
      <c r="H40" s="207">
        <f>SUM(H41:H44)</f>
        <v>2329.9500000000003</v>
      </c>
    </row>
    <row r="41" spans="1:8" x14ac:dyDescent="0.3">
      <c r="A41" s="95" t="s">
        <v>36</v>
      </c>
      <c r="B41" s="198" t="s">
        <v>69</v>
      </c>
      <c r="C41" s="150" t="str">
        <f>'MAPA DE COTAÇÃO'!A26</f>
        <v>C003</v>
      </c>
      <c r="D41" s="151" t="str">
        <f>'MAPA DE COTAÇÃO'!B26</f>
        <v>RACK DE PISO 19" - PORTA ACRÍLICO - 22U X 670MM</v>
      </c>
      <c r="E41" s="93" t="s">
        <v>13</v>
      </c>
      <c r="F41" s="53">
        <v>1</v>
      </c>
      <c r="G41" s="48">
        <f>'MAPA DE COTAÇÃO'!G26</f>
        <v>1984.8</v>
      </c>
      <c r="H41" s="50">
        <f t="shared" ref="H41:H44" si="3">TRUNC(G41*F41,2)</f>
        <v>1984.8</v>
      </c>
    </row>
    <row r="42" spans="1:8" x14ac:dyDescent="0.3">
      <c r="A42" s="95" t="s">
        <v>36</v>
      </c>
      <c r="B42" s="198" t="s">
        <v>69</v>
      </c>
      <c r="C42" s="150" t="str">
        <f>'MAPA DE COTAÇÃO'!$A$22</f>
        <v>C002</v>
      </c>
      <c r="D42" s="81" t="str">
        <f>'MAPA DE COTAÇÃO'!$B$22</f>
        <v>UNIDADE DE VENTILAÇÃO - 2 VENTILADORES - DE TETO PARA RACK 19" PRETO</v>
      </c>
      <c r="E42" s="93" t="s">
        <v>13</v>
      </c>
      <c r="F42" s="53">
        <v>1</v>
      </c>
      <c r="G42" s="48">
        <f>'MAPA DE COTAÇÃO'!$G$22</f>
        <v>240.99</v>
      </c>
      <c r="H42" s="50">
        <f t="shared" si="3"/>
        <v>240.99</v>
      </c>
    </row>
    <row r="43" spans="1:8" x14ac:dyDescent="0.3">
      <c r="A43" s="95" t="s">
        <v>37</v>
      </c>
      <c r="B43" s="198" t="s">
        <v>23</v>
      </c>
      <c r="C43" s="149" t="s">
        <v>153</v>
      </c>
      <c r="D43" s="81" t="s">
        <v>60</v>
      </c>
      <c r="E43" s="93" t="s">
        <v>38</v>
      </c>
      <c r="F43" s="53">
        <v>3</v>
      </c>
      <c r="G43" s="48">
        <v>15.19</v>
      </c>
      <c r="H43" s="50">
        <f t="shared" si="3"/>
        <v>45.57</v>
      </c>
    </row>
    <row r="44" spans="1:8" x14ac:dyDescent="0.3">
      <c r="A44" s="95" t="s">
        <v>37</v>
      </c>
      <c r="B44" s="198" t="s">
        <v>23</v>
      </c>
      <c r="C44" s="149" t="s">
        <v>154</v>
      </c>
      <c r="D44" s="81" t="s">
        <v>61</v>
      </c>
      <c r="E44" s="93" t="s">
        <v>38</v>
      </c>
      <c r="F44" s="53">
        <v>3</v>
      </c>
      <c r="G44" s="48">
        <v>19.53</v>
      </c>
      <c r="H44" s="50">
        <f t="shared" si="3"/>
        <v>58.59</v>
      </c>
    </row>
    <row r="45" spans="1:8" x14ac:dyDescent="0.3">
      <c r="A45" s="326" t="s">
        <v>539</v>
      </c>
      <c r="B45" s="327"/>
      <c r="C45" s="327"/>
      <c r="D45" s="327"/>
      <c r="E45" s="327"/>
      <c r="F45" s="327"/>
      <c r="G45" s="327"/>
      <c r="H45" s="328"/>
    </row>
    <row r="46" spans="1:8" x14ac:dyDescent="0.3">
      <c r="A46" s="78"/>
      <c r="B46" s="79"/>
      <c r="C46" s="79"/>
      <c r="D46" s="79"/>
      <c r="E46" s="79"/>
      <c r="F46" s="79"/>
      <c r="G46" s="79"/>
      <c r="H46" s="80"/>
    </row>
    <row r="47" spans="1:8" ht="27.6" x14ac:dyDescent="0.3">
      <c r="A47" s="215" t="s">
        <v>121</v>
      </c>
      <c r="B47" s="204"/>
      <c r="C47" s="204"/>
      <c r="D47" s="135" t="s">
        <v>607</v>
      </c>
      <c r="E47" s="204" t="s">
        <v>13</v>
      </c>
      <c r="F47" s="329" t="s">
        <v>32</v>
      </c>
      <c r="G47" s="330"/>
      <c r="H47" s="207">
        <f>SUM(H48:H51)</f>
        <v>3608.4400000000005</v>
      </c>
    </row>
    <row r="48" spans="1:8" x14ac:dyDescent="0.3">
      <c r="A48" s="95" t="s">
        <v>36</v>
      </c>
      <c r="B48" s="198" t="s">
        <v>69</v>
      </c>
      <c r="C48" s="150" t="str">
        <f>'MAPA DE COTAÇÃO'!A30</f>
        <v>C004</v>
      </c>
      <c r="D48" s="151" t="str">
        <f>'MAPA DE COTAÇÃO'!B30</f>
        <v>RACK DE PISO 19" - PORTA ACRÍLICO - 44U X 670MM</v>
      </c>
      <c r="E48" s="150" t="s">
        <v>13</v>
      </c>
      <c r="F48" s="53">
        <v>1</v>
      </c>
      <c r="G48" s="48">
        <f>'MAPA DE COTAÇÃO'!G30</f>
        <v>3097.76</v>
      </c>
      <c r="H48" s="50">
        <f t="shared" ref="H48:H51" si="4">TRUNC(G48*F48,2)</f>
        <v>3097.76</v>
      </c>
    </row>
    <row r="49" spans="1:8" x14ac:dyDescent="0.3">
      <c r="A49" s="95" t="s">
        <v>36</v>
      </c>
      <c r="B49" s="198" t="s">
        <v>69</v>
      </c>
      <c r="C49" s="150" t="str">
        <f>'MAPA DE COTAÇÃO'!A34</f>
        <v>C005</v>
      </c>
      <c r="D49" s="81" t="s">
        <v>193</v>
      </c>
      <c r="E49" s="150" t="s">
        <v>13</v>
      </c>
      <c r="F49" s="53">
        <v>1</v>
      </c>
      <c r="G49" s="48">
        <f>'MAPA DE COTAÇÃO'!G34</f>
        <v>406.52</v>
      </c>
      <c r="H49" s="50">
        <f t="shared" si="4"/>
        <v>406.52</v>
      </c>
    </row>
    <row r="50" spans="1:8" x14ac:dyDescent="0.3">
      <c r="A50" s="95" t="s">
        <v>37</v>
      </c>
      <c r="B50" s="198" t="s">
        <v>23</v>
      </c>
      <c r="C50" s="149" t="s">
        <v>153</v>
      </c>
      <c r="D50" s="81" t="s">
        <v>60</v>
      </c>
      <c r="E50" s="93" t="s">
        <v>38</v>
      </c>
      <c r="F50" s="53">
        <v>3</v>
      </c>
      <c r="G50" s="48">
        <v>15.19</v>
      </c>
      <c r="H50" s="50">
        <f t="shared" si="4"/>
        <v>45.57</v>
      </c>
    </row>
    <row r="51" spans="1:8" x14ac:dyDescent="0.3">
      <c r="A51" s="95" t="s">
        <v>37</v>
      </c>
      <c r="B51" s="198" t="s">
        <v>23</v>
      </c>
      <c r="C51" s="149" t="s">
        <v>154</v>
      </c>
      <c r="D51" s="81" t="s">
        <v>61</v>
      </c>
      <c r="E51" s="93" t="s">
        <v>38</v>
      </c>
      <c r="F51" s="53">
        <v>3</v>
      </c>
      <c r="G51" s="48">
        <v>19.53</v>
      </c>
      <c r="H51" s="50">
        <f t="shared" si="4"/>
        <v>58.59</v>
      </c>
    </row>
    <row r="52" spans="1:8" x14ac:dyDescent="0.3">
      <c r="A52" s="326" t="s">
        <v>539</v>
      </c>
      <c r="B52" s="327"/>
      <c r="C52" s="327"/>
      <c r="D52" s="327"/>
      <c r="E52" s="327"/>
      <c r="F52" s="327"/>
      <c r="G52" s="327"/>
      <c r="H52" s="328"/>
    </row>
    <row r="53" spans="1:8" x14ac:dyDescent="0.3">
      <c r="A53" s="78"/>
      <c r="B53" s="79"/>
      <c r="C53" s="79"/>
      <c r="D53" s="79"/>
      <c r="E53" s="79"/>
      <c r="F53" s="79"/>
      <c r="G53" s="79"/>
      <c r="H53" s="80"/>
    </row>
    <row r="54" spans="1:8" x14ac:dyDescent="0.3">
      <c r="A54" s="215" t="s">
        <v>122</v>
      </c>
      <c r="B54" s="229"/>
      <c r="C54" s="229"/>
      <c r="D54" s="135" t="s">
        <v>617</v>
      </c>
      <c r="E54" s="229" t="s">
        <v>13</v>
      </c>
      <c r="F54" s="329" t="s">
        <v>32</v>
      </c>
      <c r="G54" s="330"/>
      <c r="H54" s="230">
        <f>SUM(H55:H57)</f>
        <v>3563.5800000000004</v>
      </c>
    </row>
    <row r="55" spans="1:8" x14ac:dyDescent="0.3">
      <c r="A55" s="95" t="s">
        <v>36</v>
      </c>
      <c r="B55" s="228" t="s">
        <v>69</v>
      </c>
      <c r="C55" s="150" t="str">
        <f>'MAPA DE COTAÇÃO'!A258</f>
        <v>C061</v>
      </c>
      <c r="D55" s="151" t="str">
        <f>'MAPA DE COTAÇÃO'!B258</f>
        <v>RACK DE PISO 19" - ABERTO - 44U X 450MM</v>
      </c>
      <c r="E55" s="150" t="s">
        <v>13</v>
      </c>
      <c r="F55" s="53">
        <v>1</v>
      </c>
      <c r="G55" s="48">
        <f>'MAPA DE COTAÇÃO'!G258</f>
        <v>3459.42</v>
      </c>
      <c r="H55" s="50">
        <f t="shared" ref="H55:H57" si="5">TRUNC(G55*F55,2)</f>
        <v>3459.42</v>
      </c>
    </row>
    <row r="56" spans="1:8" x14ac:dyDescent="0.3">
      <c r="A56" s="95" t="s">
        <v>37</v>
      </c>
      <c r="B56" s="228" t="s">
        <v>23</v>
      </c>
      <c r="C56" s="149" t="s">
        <v>153</v>
      </c>
      <c r="D56" s="81" t="s">
        <v>60</v>
      </c>
      <c r="E56" s="93" t="s">
        <v>38</v>
      </c>
      <c r="F56" s="53">
        <v>3</v>
      </c>
      <c r="G56" s="48">
        <v>15.19</v>
      </c>
      <c r="H56" s="50">
        <f t="shared" si="5"/>
        <v>45.57</v>
      </c>
    </row>
    <row r="57" spans="1:8" x14ac:dyDescent="0.3">
      <c r="A57" s="95" t="s">
        <v>37</v>
      </c>
      <c r="B57" s="228" t="s">
        <v>23</v>
      </c>
      <c r="C57" s="149" t="s">
        <v>154</v>
      </c>
      <c r="D57" s="81" t="s">
        <v>61</v>
      </c>
      <c r="E57" s="93" t="s">
        <v>38</v>
      </c>
      <c r="F57" s="53">
        <v>3</v>
      </c>
      <c r="G57" s="48">
        <v>19.53</v>
      </c>
      <c r="H57" s="50">
        <f t="shared" si="5"/>
        <v>58.59</v>
      </c>
    </row>
    <row r="58" spans="1:8" x14ac:dyDescent="0.3">
      <c r="A58" s="326" t="s">
        <v>539</v>
      </c>
      <c r="B58" s="327"/>
      <c r="C58" s="327"/>
      <c r="D58" s="327"/>
      <c r="E58" s="327"/>
      <c r="F58" s="327"/>
      <c r="G58" s="327"/>
      <c r="H58" s="328"/>
    </row>
    <row r="59" spans="1:8" x14ac:dyDescent="0.3">
      <c r="A59" s="78"/>
      <c r="B59" s="79"/>
      <c r="C59" s="79"/>
      <c r="D59" s="79"/>
      <c r="E59" s="79"/>
      <c r="F59" s="79"/>
      <c r="G59" s="79"/>
      <c r="H59" s="80"/>
    </row>
    <row r="60" spans="1:8" ht="27.6" x14ac:dyDescent="0.3">
      <c r="A60" s="215" t="s">
        <v>123</v>
      </c>
      <c r="B60" s="204"/>
      <c r="C60" s="204"/>
      <c r="D60" s="135" t="s">
        <v>195</v>
      </c>
      <c r="E60" s="204" t="s">
        <v>13</v>
      </c>
      <c r="F60" s="329" t="s">
        <v>32</v>
      </c>
      <c r="G60" s="330"/>
      <c r="H60" s="207">
        <f>SUM(H61:H63)</f>
        <v>85.330000000000013</v>
      </c>
    </row>
    <row r="61" spans="1:8" x14ac:dyDescent="0.3">
      <c r="A61" s="95" t="s">
        <v>36</v>
      </c>
      <c r="B61" s="198" t="s">
        <v>69</v>
      </c>
      <c r="C61" s="150" t="str">
        <f>'MAPA DE COTAÇÃO'!A38</f>
        <v>C006</v>
      </c>
      <c r="D61" s="151" t="s">
        <v>194</v>
      </c>
      <c r="E61" s="150" t="s">
        <v>13</v>
      </c>
      <c r="F61" s="53">
        <v>1</v>
      </c>
      <c r="G61" s="48">
        <f>'MAPA DE COTAÇÃO'!G38</f>
        <v>78.400000000000006</v>
      </c>
      <c r="H61" s="50">
        <f t="shared" ref="H61:H63" si="6">TRUNC(G61*F61,2)</f>
        <v>78.400000000000006</v>
      </c>
    </row>
    <row r="62" spans="1:8" x14ac:dyDescent="0.3">
      <c r="A62" s="95" t="s">
        <v>37</v>
      </c>
      <c r="B62" s="198" t="s">
        <v>23</v>
      </c>
      <c r="C62" s="149" t="s">
        <v>153</v>
      </c>
      <c r="D62" s="81" t="s">
        <v>60</v>
      </c>
      <c r="E62" s="93" t="s">
        <v>38</v>
      </c>
      <c r="F62" s="53">
        <v>0.2</v>
      </c>
      <c r="G62" s="48">
        <v>15.19</v>
      </c>
      <c r="H62" s="50">
        <f t="shared" si="6"/>
        <v>3.03</v>
      </c>
    </row>
    <row r="63" spans="1:8" x14ac:dyDescent="0.3">
      <c r="A63" s="95" t="s">
        <v>37</v>
      </c>
      <c r="B63" s="198" t="s">
        <v>23</v>
      </c>
      <c r="C63" s="149" t="s">
        <v>154</v>
      </c>
      <c r="D63" s="81" t="s">
        <v>61</v>
      </c>
      <c r="E63" s="93" t="s">
        <v>38</v>
      </c>
      <c r="F63" s="53">
        <v>0.2</v>
      </c>
      <c r="G63" s="48">
        <v>19.53</v>
      </c>
      <c r="H63" s="50">
        <f t="shared" si="6"/>
        <v>3.9</v>
      </c>
    </row>
    <row r="64" spans="1:8" x14ac:dyDescent="0.3">
      <c r="A64" s="326" t="s">
        <v>538</v>
      </c>
      <c r="B64" s="327"/>
      <c r="C64" s="327"/>
      <c r="D64" s="327"/>
      <c r="E64" s="327"/>
      <c r="F64" s="327"/>
      <c r="G64" s="327"/>
      <c r="H64" s="328"/>
    </row>
    <row r="65" spans="1:8" x14ac:dyDescent="0.3">
      <c r="A65" s="78"/>
      <c r="B65" s="79"/>
      <c r="C65" s="79"/>
      <c r="D65" s="79"/>
      <c r="E65" s="79"/>
      <c r="F65" s="79"/>
      <c r="G65" s="79"/>
      <c r="H65" s="80"/>
    </row>
    <row r="66" spans="1:8" ht="27.6" x14ac:dyDescent="0.3">
      <c r="A66" s="215" t="s">
        <v>125</v>
      </c>
      <c r="B66" s="204"/>
      <c r="C66" s="204"/>
      <c r="D66" s="135" t="s">
        <v>196</v>
      </c>
      <c r="E66" s="204" t="s">
        <v>13</v>
      </c>
      <c r="F66" s="329" t="s">
        <v>32</v>
      </c>
      <c r="G66" s="330"/>
      <c r="H66" s="207">
        <f>SUM(H67:H69)</f>
        <v>35.26</v>
      </c>
    </row>
    <row r="67" spans="1:8" x14ac:dyDescent="0.3">
      <c r="A67" s="95" t="s">
        <v>36</v>
      </c>
      <c r="B67" s="198" t="s">
        <v>69</v>
      </c>
      <c r="C67" s="150" t="str">
        <f>'MAPA DE COTAÇÃO'!A42</f>
        <v>C007</v>
      </c>
      <c r="D67" s="151" t="s">
        <v>197</v>
      </c>
      <c r="E67" s="150" t="s">
        <v>13</v>
      </c>
      <c r="F67" s="53">
        <v>1</v>
      </c>
      <c r="G67" s="48">
        <f>'MAPA DE COTAÇÃO'!G42</f>
        <v>28.33</v>
      </c>
      <c r="H67" s="50">
        <f t="shared" ref="H67:H69" si="7">TRUNC(G67*F67,2)</f>
        <v>28.33</v>
      </c>
    </row>
    <row r="68" spans="1:8" x14ac:dyDescent="0.3">
      <c r="A68" s="95" t="s">
        <v>37</v>
      </c>
      <c r="B68" s="198" t="s">
        <v>23</v>
      </c>
      <c r="C68" s="149" t="s">
        <v>153</v>
      </c>
      <c r="D68" s="81" t="s">
        <v>60</v>
      </c>
      <c r="E68" s="93" t="s">
        <v>38</v>
      </c>
      <c r="F68" s="53">
        <v>0.2</v>
      </c>
      <c r="G68" s="48">
        <v>15.19</v>
      </c>
      <c r="H68" s="50">
        <f t="shared" si="7"/>
        <v>3.03</v>
      </c>
    </row>
    <row r="69" spans="1:8" x14ac:dyDescent="0.3">
      <c r="A69" s="95" t="s">
        <v>37</v>
      </c>
      <c r="B69" s="198" t="s">
        <v>23</v>
      </c>
      <c r="C69" s="149" t="s">
        <v>154</v>
      </c>
      <c r="D69" s="81" t="s">
        <v>61</v>
      </c>
      <c r="E69" s="93" t="s">
        <v>38</v>
      </c>
      <c r="F69" s="53">
        <v>0.2</v>
      </c>
      <c r="G69" s="48">
        <v>19.53</v>
      </c>
      <c r="H69" s="50">
        <f t="shared" si="7"/>
        <v>3.9</v>
      </c>
    </row>
    <row r="70" spans="1:8" x14ac:dyDescent="0.3">
      <c r="A70" s="326" t="s">
        <v>540</v>
      </c>
      <c r="B70" s="327"/>
      <c r="C70" s="327"/>
      <c r="D70" s="327"/>
      <c r="E70" s="327"/>
      <c r="F70" s="327"/>
      <c r="G70" s="327"/>
      <c r="H70" s="328"/>
    </row>
    <row r="71" spans="1:8" x14ac:dyDescent="0.3">
      <c r="A71" s="78"/>
      <c r="B71" s="79"/>
      <c r="C71" s="79"/>
      <c r="D71" s="79"/>
      <c r="E71" s="79"/>
      <c r="F71" s="79"/>
      <c r="G71" s="79"/>
      <c r="H71" s="80"/>
    </row>
    <row r="72" spans="1:8" ht="27.6" x14ac:dyDescent="0.3">
      <c r="A72" s="215" t="s">
        <v>126</v>
      </c>
      <c r="B72" s="204"/>
      <c r="C72" s="204"/>
      <c r="D72" s="135" t="s">
        <v>199</v>
      </c>
      <c r="E72" s="204" t="s">
        <v>13</v>
      </c>
      <c r="F72" s="329" t="s">
        <v>32</v>
      </c>
      <c r="G72" s="330"/>
      <c r="H72" s="207">
        <f>SUM(H73:H75)</f>
        <v>78.06</v>
      </c>
    </row>
    <row r="73" spans="1:8" x14ac:dyDescent="0.3">
      <c r="A73" s="95" t="s">
        <v>36</v>
      </c>
      <c r="B73" s="198" t="s">
        <v>69</v>
      </c>
      <c r="C73" s="150" t="str">
        <f>'MAPA DE COTAÇÃO'!A46</f>
        <v>C008</v>
      </c>
      <c r="D73" s="151" t="s">
        <v>198</v>
      </c>
      <c r="E73" s="150" t="s">
        <v>13</v>
      </c>
      <c r="F73" s="53">
        <v>1</v>
      </c>
      <c r="G73" s="48">
        <f>'MAPA DE COTAÇÃO'!G46</f>
        <v>71.13</v>
      </c>
      <c r="H73" s="50">
        <f t="shared" ref="H73:H75" si="8">TRUNC(G73*F73,2)</f>
        <v>71.13</v>
      </c>
    </row>
    <row r="74" spans="1:8" x14ac:dyDescent="0.3">
      <c r="A74" s="95" t="s">
        <v>37</v>
      </c>
      <c r="B74" s="198" t="s">
        <v>23</v>
      </c>
      <c r="C74" s="149" t="s">
        <v>154</v>
      </c>
      <c r="D74" s="81" t="s">
        <v>61</v>
      </c>
      <c r="E74" s="93" t="s">
        <v>38</v>
      </c>
      <c r="F74" s="53">
        <v>0.2</v>
      </c>
      <c r="G74" s="48">
        <v>19.53</v>
      </c>
      <c r="H74" s="50">
        <f t="shared" si="8"/>
        <v>3.9</v>
      </c>
    </row>
    <row r="75" spans="1:8" x14ac:dyDescent="0.3">
      <c r="A75" s="95" t="s">
        <v>37</v>
      </c>
      <c r="B75" s="198" t="s">
        <v>23</v>
      </c>
      <c r="C75" s="149" t="s">
        <v>200</v>
      </c>
      <c r="D75" s="81" t="s">
        <v>84</v>
      </c>
      <c r="E75" s="93" t="s">
        <v>38</v>
      </c>
      <c r="F75" s="53">
        <v>0.2</v>
      </c>
      <c r="G75" s="48">
        <v>15.16</v>
      </c>
      <c r="H75" s="50">
        <f t="shared" si="8"/>
        <v>3.03</v>
      </c>
    </row>
    <row r="76" spans="1:8" x14ac:dyDescent="0.3">
      <c r="A76" s="326" t="s">
        <v>541</v>
      </c>
      <c r="B76" s="327"/>
      <c r="C76" s="327"/>
      <c r="D76" s="327"/>
      <c r="E76" s="327"/>
      <c r="F76" s="327"/>
      <c r="G76" s="327"/>
      <c r="H76" s="328"/>
    </row>
    <row r="77" spans="1:8" x14ac:dyDescent="0.3">
      <c r="A77" s="78"/>
      <c r="B77" s="79"/>
      <c r="C77" s="79"/>
      <c r="D77" s="79"/>
      <c r="E77" s="79"/>
      <c r="F77" s="79"/>
      <c r="G77" s="79"/>
      <c r="H77" s="80"/>
    </row>
    <row r="78" spans="1:8" ht="25.5" customHeight="1" x14ac:dyDescent="0.3">
      <c r="A78" s="215" t="s">
        <v>127</v>
      </c>
      <c r="B78" s="204"/>
      <c r="C78" s="204"/>
      <c r="D78" s="135" t="s">
        <v>202</v>
      </c>
      <c r="E78" s="204" t="s">
        <v>13</v>
      </c>
      <c r="F78" s="329" t="s">
        <v>32</v>
      </c>
      <c r="G78" s="330"/>
      <c r="H78" s="207">
        <f>SUM(H79:H81)</f>
        <v>15.41</v>
      </c>
    </row>
    <row r="79" spans="1:8" x14ac:dyDescent="0.3">
      <c r="A79" s="95" t="s">
        <v>36</v>
      </c>
      <c r="B79" s="198" t="s">
        <v>69</v>
      </c>
      <c r="C79" s="150" t="str">
        <f>'MAPA DE COTAÇÃO'!A50</f>
        <v>C009</v>
      </c>
      <c r="D79" s="151" t="s">
        <v>201</v>
      </c>
      <c r="E79" s="150" t="s">
        <v>13</v>
      </c>
      <c r="F79" s="53">
        <v>1</v>
      </c>
      <c r="G79" s="48">
        <f>'MAPA DE COTAÇÃO'!G50</f>
        <v>8.48</v>
      </c>
      <c r="H79" s="50">
        <f t="shared" ref="H79:H81" si="9">TRUNC(G79*F79,2)</f>
        <v>8.48</v>
      </c>
    </row>
    <row r="80" spans="1:8" x14ac:dyDescent="0.3">
      <c r="A80" s="95" t="s">
        <v>37</v>
      </c>
      <c r="B80" s="198" t="s">
        <v>23</v>
      </c>
      <c r="C80" s="149" t="s">
        <v>154</v>
      </c>
      <c r="D80" s="81" t="s">
        <v>61</v>
      </c>
      <c r="E80" s="93" t="s">
        <v>38</v>
      </c>
      <c r="F80" s="53">
        <v>0.2</v>
      </c>
      <c r="G80" s="48">
        <v>19.53</v>
      </c>
      <c r="H80" s="50">
        <f t="shared" si="9"/>
        <v>3.9</v>
      </c>
    </row>
    <row r="81" spans="1:8" x14ac:dyDescent="0.3">
      <c r="A81" s="95" t="s">
        <v>37</v>
      </c>
      <c r="B81" s="198" t="s">
        <v>23</v>
      </c>
      <c r="C81" s="149" t="s">
        <v>200</v>
      </c>
      <c r="D81" s="81" t="s">
        <v>84</v>
      </c>
      <c r="E81" s="93" t="s">
        <v>38</v>
      </c>
      <c r="F81" s="53">
        <v>0.2</v>
      </c>
      <c r="G81" s="48">
        <v>15.16</v>
      </c>
      <c r="H81" s="50">
        <f t="shared" si="9"/>
        <v>3.03</v>
      </c>
    </row>
    <row r="82" spans="1:8" x14ac:dyDescent="0.3">
      <c r="A82" s="326" t="s">
        <v>541</v>
      </c>
      <c r="B82" s="327"/>
      <c r="C82" s="327"/>
      <c r="D82" s="327"/>
      <c r="E82" s="327"/>
      <c r="F82" s="327"/>
      <c r="G82" s="327"/>
      <c r="H82" s="328"/>
    </row>
    <row r="83" spans="1:8" x14ac:dyDescent="0.3">
      <c r="A83" s="78"/>
      <c r="B83" s="79"/>
      <c r="C83" s="79"/>
      <c r="D83" s="79"/>
      <c r="E83" s="79"/>
      <c r="F83" s="79"/>
      <c r="G83" s="79"/>
      <c r="H83" s="80"/>
    </row>
    <row r="84" spans="1:8" ht="27.6" x14ac:dyDescent="0.3">
      <c r="A84" s="215" t="s">
        <v>129</v>
      </c>
      <c r="B84" s="204"/>
      <c r="C84" s="204"/>
      <c r="D84" s="135" t="s">
        <v>543</v>
      </c>
      <c r="E84" s="204" t="s">
        <v>13</v>
      </c>
      <c r="F84" s="329" t="s">
        <v>32</v>
      </c>
      <c r="G84" s="330"/>
      <c r="H84" s="207">
        <f>SUM(H85:H87)</f>
        <v>628.9</v>
      </c>
    </row>
    <row r="85" spans="1:8" x14ac:dyDescent="0.3">
      <c r="A85" s="95" t="s">
        <v>36</v>
      </c>
      <c r="B85" s="198" t="s">
        <v>69</v>
      </c>
      <c r="C85" s="150" t="str">
        <f>'MAPA DE COTAÇÃO'!A54</f>
        <v>C010</v>
      </c>
      <c r="D85" s="151" t="str">
        <f>'MAPA DE COTAÇÃO'!B54</f>
        <v>DIO - 6 FIBRAS - SC</v>
      </c>
      <c r="E85" s="150" t="str">
        <f>'MAPA DE COTAÇÃO'!C54</f>
        <v>UN</v>
      </c>
      <c r="F85" s="53">
        <v>1</v>
      </c>
      <c r="G85" s="48">
        <f>'MAPA DE COTAÇÃO'!G54</f>
        <v>621.97</v>
      </c>
      <c r="H85" s="50">
        <f t="shared" ref="H85:H87" si="10">TRUNC(G85*F85,2)</f>
        <v>621.97</v>
      </c>
    </row>
    <row r="86" spans="1:8" x14ac:dyDescent="0.3">
      <c r="A86" s="95" t="s">
        <v>37</v>
      </c>
      <c r="B86" s="198" t="s">
        <v>23</v>
      </c>
      <c r="C86" s="149" t="s">
        <v>154</v>
      </c>
      <c r="D86" s="81" t="s">
        <v>61</v>
      </c>
      <c r="E86" s="93" t="s">
        <v>38</v>
      </c>
      <c r="F86" s="53">
        <v>0.2</v>
      </c>
      <c r="G86" s="48">
        <v>19.53</v>
      </c>
      <c r="H86" s="50">
        <f t="shared" si="10"/>
        <v>3.9</v>
      </c>
    </row>
    <row r="87" spans="1:8" x14ac:dyDescent="0.3">
      <c r="A87" s="95" t="s">
        <v>37</v>
      </c>
      <c r="B87" s="198" t="s">
        <v>23</v>
      </c>
      <c r="C87" s="149" t="s">
        <v>153</v>
      </c>
      <c r="D87" s="81" t="s">
        <v>60</v>
      </c>
      <c r="E87" s="93" t="s">
        <v>38</v>
      </c>
      <c r="F87" s="53">
        <v>0.2</v>
      </c>
      <c r="G87" s="48">
        <v>15.19</v>
      </c>
      <c r="H87" s="50">
        <f t="shared" si="10"/>
        <v>3.03</v>
      </c>
    </row>
    <row r="88" spans="1:8" x14ac:dyDescent="0.3">
      <c r="A88" s="326" t="s">
        <v>542</v>
      </c>
      <c r="B88" s="327"/>
      <c r="C88" s="327"/>
      <c r="D88" s="327"/>
      <c r="E88" s="327"/>
      <c r="F88" s="327"/>
      <c r="G88" s="327"/>
      <c r="H88" s="328"/>
    </row>
    <row r="89" spans="1:8" x14ac:dyDescent="0.3">
      <c r="A89" s="78"/>
      <c r="B89" s="79"/>
      <c r="C89" s="79"/>
      <c r="D89" s="79"/>
      <c r="E89" s="79"/>
      <c r="F89" s="79"/>
      <c r="G89" s="79"/>
      <c r="H89" s="80"/>
    </row>
    <row r="90" spans="1:8" ht="27.6" x14ac:dyDescent="0.3">
      <c r="A90" s="215" t="s">
        <v>130</v>
      </c>
      <c r="B90" s="204"/>
      <c r="C90" s="204"/>
      <c r="D90" s="135" t="s">
        <v>206</v>
      </c>
      <c r="E90" s="204" t="s">
        <v>13</v>
      </c>
      <c r="F90" s="329" t="s">
        <v>32</v>
      </c>
      <c r="G90" s="330"/>
      <c r="H90" s="207">
        <f>SUM(H91:H93)</f>
        <v>1184.24</v>
      </c>
    </row>
    <row r="91" spans="1:8" x14ac:dyDescent="0.3">
      <c r="A91" s="95" t="s">
        <v>36</v>
      </c>
      <c r="B91" s="198" t="s">
        <v>69</v>
      </c>
      <c r="C91" s="150" t="str">
        <f>'MAPA DE COTAÇÃO'!A58</f>
        <v>C011</v>
      </c>
      <c r="D91" s="151" t="str">
        <f>'MAPA DE COTAÇÃO'!B58</f>
        <v>DIO - 48 FIBRAS - SC</v>
      </c>
      <c r="E91" s="150" t="str">
        <f>'MAPA DE COTAÇÃO'!C58</f>
        <v>UN</v>
      </c>
      <c r="F91" s="53">
        <v>1</v>
      </c>
      <c r="G91" s="48">
        <f>'MAPA DE COTAÇÃO'!G58</f>
        <v>1177.31</v>
      </c>
      <c r="H91" s="50">
        <f t="shared" ref="H91:H93" si="11">TRUNC(G91*F91,2)</f>
        <v>1177.31</v>
      </c>
    </row>
    <row r="92" spans="1:8" x14ac:dyDescent="0.3">
      <c r="A92" s="95" t="s">
        <v>37</v>
      </c>
      <c r="B92" s="198" t="s">
        <v>23</v>
      </c>
      <c r="C92" s="149" t="s">
        <v>154</v>
      </c>
      <c r="D92" s="81" t="s">
        <v>61</v>
      </c>
      <c r="E92" s="93" t="s">
        <v>38</v>
      </c>
      <c r="F92" s="53">
        <v>0.2</v>
      </c>
      <c r="G92" s="48">
        <v>19.53</v>
      </c>
      <c r="H92" s="50">
        <f t="shared" si="11"/>
        <v>3.9</v>
      </c>
    </row>
    <row r="93" spans="1:8" x14ac:dyDescent="0.3">
      <c r="A93" s="95" t="s">
        <v>37</v>
      </c>
      <c r="B93" s="198" t="s">
        <v>23</v>
      </c>
      <c r="C93" s="149" t="s">
        <v>153</v>
      </c>
      <c r="D93" s="81" t="s">
        <v>60</v>
      </c>
      <c r="E93" s="93" t="s">
        <v>38</v>
      </c>
      <c r="F93" s="53">
        <v>0.2</v>
      </c>
      <c r="G93" s="48">
        <v>15.19</v>
      </c>
      <c r="H93" s="50">
        <f t="shared" si="11"/>
        <v>3.03</v>
      </c>
    </row>
    <row r="94" spans="1:8" x14ac:dyDescent="0.3">
      <c r="A94" s="326" t="s">
        <v>542</v>
      </c>
      <c r="B94" s="327"/>
      <c r="C94" s="327"/>
      <c r="D94" s="327"/>
      <c r="E94" s="327"/>
      <c r="F94" s="327"/>
      <c r="G94" s="327"/>
      <c r="H94" s="328"/>
    </row>
    <row r="95" spans="1:8" x14ac:dyDescent="0.3">
      <c r="A95" s="78"/>
      <c r="B95" s="79"/>
      <c r="C95" s="79"/>
      <c r="D95" s="79"/>
      <c r="E95" s="79"/>
      <c r="F95" s="79"/>
      <c r="G95" s="79"/>
      <c r="H95" s="80"/>
    </row>
    <row r="96" spans="1:8" x14ac:dyDescent="0.3">
      <c r="A96" s="215" t="s">
        <v>131</v>
      </c>
      <c r="B96" s="204"/>
      <c r="C96" s="204"/>
      <c r="D96" s="135" t="s">
        <v>208</v>
      </c>
      <c r="E96" s="204" t="s">
        <v>13</v>
      </c>
      <c r="F96" s="329" t="s">
        <v>32</v>
      </c>
      <c r="G96" s="330"/>
      <c r="H96" s="207">
        <f>SUM(H97:H98)</f>
        <v>254.19</v>
      </c>
    </row>
    <row r="97" spans="1:8" x14ac:dyDescent="0.3">
      <c r="A97" s="95" t="s">
        <v>36</v>
      </c>
      <c r="B97" s="198" t="s">
        <v>69</v>
      </c>
      <c r="C97" s="150" t="str">
        <f>'MAPA DE COTAÇÃO'!A62</f>
        <v>C012</v>
      </c>
      <c r="D97" s="151" t="str">
        <f>'MAPA DE COTAÇÃO'!B62</f>
        <v>MÓDULO GBIC SFP - BI-DIRECIONAL</v>
      </c>
      <c r="E97" s="150" t="str">
        <f>'MAPA DE COTAÇÃO'!C62</f>
        <v>UN</v>
      </c>
      <c r="F97" s="53">
        <v>1</v>
      </c>
      <c r="G97" s="48">
        <f>'MAPA DE COTAÇÃO'!G62</f>
        <v>234.66</v>
      </c>
      <c r="H97" s="50">
        <f t="shared" ref="H97:H98" si="12">TRUNC(G97*F97,2)</f>
        <v>234.66</v>
      </c>
    </row>
    <row r="98" spans="1:8" x14ac:dyDescent="0.3">
      <c r="A98" s="95" t="s">
        <v>37</v>
      </c>
      <c r="B98" s="198" t="s">
        <v>23</v>
      </c>
      <c r="C98" s="149" t="s">
        <v>154</v>
      </c>
      <c r="D98" s="81" t="s">
        <v>61</v>
      </c>
      <c r="E98" s="93" t="s">
        <v>38</v>
      </c>
      <c r="F98" s="53">
        <v>1</v>
      </c>
      <c r="G98" s="48">
        <v>19.53</v>
      </c>
      <c r="H98" s="50">
        <f t="shared" si="12"/>
        <v>19.53</v>
      </c>
    </row>
    <row r="99" spans="1:8" x14ac:dyDescent="0.3">
      <c r="A99" s="326" t="s">
        <v>550</v>
      </c>
      <c r="B99" s="327"/>
      <c r="C99" s="327"/>
      <c r="D99" s="327"/>
      <c r="E99" s="327"/>
      <c r="F99" s="327"/>
      <c r="G99" s="327"/>
      <c r="H99" s="328"/>
    </row>
    <row r="100" spans="1:8" x14ac:dyDescent="0.3">
      <c r="A100" s="78"/>
      <c r="B100" s="79"/>
      <c r="C100" s="79"/>
      <c r="D100" s="79"/>
      <c r="E100" s="79"/>
      <c r="F100" s="79"/>
      <c r="G100" s="79"/>
      <c r="H100" s="80"/>
    </row>
    <row r="101" spans="1:8" ht="27.6" x14ac:dyDescent="0.3">
      <c r="A101" s="215" t="s">
        <v>133</v>
      </c>
      <c r="B101" s="204"/>
      <c r="C101" s="204"/>
      <c r="D101" s="135" t="s">
        <v>465</v>
      </c>
      <c r="E101" s="204" t="s">
        <v>13</v>
      </c>
      <c r="F101" s="329" t="s">
        <v>32</v>
      </c>
      <c r="G101" s="330"/>
      <c r="H101" s="207">
        <f>SUM(H102:H103)</f>
        <v>1992.24</v>
      </c>
    </row>
    <row r="102" spans="1:8" ht="27.6" x14ac:dyDescent="0.3">
      <c r="A102" s="95" t="s">
        <v>36</v>
      </c>
      <c r="B102" s="198" t="s">
        <v>69</v>
      </c>
      <c r="C102" s="150" t="str">
        <f>'MAPA DE COTAÇÃO'!A66</f>
        <v>C013</v>
      </c>
      <c r="D102" s="81" t="str">
        <f>'MAPA DE COTAÇÃO'!B66</f>
        <v>CÂMERA IP - POE - VIP 3260 Z FULL HD - ZOOM ÓPTICO 5X - LENTE 2.7MM - WDR REAL (120DB)</v>
      </c>
      <c r="E102" s="150" t="str">
        <f>'MAPA DE COTAÇÃO'!C66</f>
        <v>UN</v>
      </c>
      <c r="F102" s="53">
        <v>1</v>
      </c>
      <c r="G102" s="48">
        <f>'MAPA DE COTAÇÃO'!G66</f>
        <v>1836</v>
      </c>
      <c r="H102" s="50">
        <f t="shared" ref="H102:H103" si="13">TRUNC(G102*F102,2)</f>
        <v>1836</v>
      </c>
    </row>
    <row r="103" spans="1:8" x14ac:dyDescent="0.3">
      <c r="A103" s="95" t="s">
        <v>37</v>
      </c>
      <c r="B103" s="198" t="s">
        <v>23</v>
      </c>
      <c r="C103" s="149" t="s">
        <v>154</v>
      </c>
      <c r="D103" s="81" t="s">
        <v>61</v>
      </c>
      <c r="E103" s="93" t="s">
        <v>38</v>
      </c>
      <c r="F103" s="53">
        <v>8</v>
      </c>
      <c r="G103" s="48">
        <v>19.53</v>
      </c>
      <c r="H103" s="50">
        <f t="shared" si="13"/>
        <v>156.24</v>
      </c>
    </row>
    <row r="104" spans="1:8" x14ac:dyDescent="0.3">
      <c r="A104" s="326" t="s">
        <v>552</v>
      </c>
      <c r="B104" s="327"/>
      <c r="C104" s="327"/>
      <c r="D104" s="327"/>
      <c r="E104" s="327"/>
      <c r="F104" s="327"/>
      <c r="G104" s="327"/>
      <c r="H104" s="328"/>
    </row>
    <row r="105" spans="1:8" x14ac:dyDescent="0.3">
      <c r="A105" s="78"/>
      <c r="B105" s="79"/>
      <c r="C105" s="79"/>
      <c r="D105" s="79"/>
      <c r="E105" s="79"/>
      <c r="F105" s="79"/>
      <c r="G105" s="79"/>
      <c r="H105" s="80"/>
    </row>
    <row r="106" spans="1:8" ht="27.6" x14ac:dyDescent="0.3">
      <c r="A106" s="215" t="s">
        <v>134</v>
      </c>
      <c r="B106" s="204"/>
      <c r="C106" s="204"/>
      <c r="D106" s="135" t="s">
        <v>466</v>
      </c>
      <c r="E106" s="204" t="s">
        <v>13</v>
      </c>
      <c r="F106" s="329" t="s">
        <v>32</v>
      </c>
      <c r="G106" s="330"/>
      <c r="H106" s="207">
        <f>SUM(H107:H108)</f>
        <v>703.7</v>
      </c>
    </row>
    <row r="107" spans="1:8" x14ac:dyDescent="0.3">
      <c r="A107" s="95" t="s">
        <v>36</v>
      </c>
      <c r="B107" s="198" t="s">
        <v>69</v>
      </c>
      <c r="C107" s="150" t="str">
        <f>'MAPA DE COTAÇÃO'!A70</f>
        <v>C014</v>
      </c>
      <c r="D107" s="81" t="str">
        <f>'MAPA DE COTAÇÃO'!B70</f>
        <v>CÂMERA IP - POE - VIP 3230 B SÉRIE 3000 FULL HD - LENTE 2.8MM</v>
      </c>
      <c r="E107" s="150" t="str">
        <f>'MAPA DE COTAÇÃO'!C70</f>
        <v>UN</v>
      </c>
      <c r="F107" s="53">
        <v>1</v>
      </c>
      <c r="G107" s="48">
        <f>'MAPA DE COTAÇÃO'!G70</f>
        <v>547.46</v>
      </c>
      <c r="H107" s="50">
        <f t="shared" ref="H107:H108" si="14">TRUNC(G107*F107,2)</f>
        <v>547.46</v>
      </c>
    </row>
    <row r="108" spans="1:8" x14ac:dyDescent="0.3">
      <c r="A108" s="95" t="s">
        <v>37</v>
      </c>
      <c r="B108" s="198" t="s">
        <v>23</v>
      </c>
      <c r="C108" s="149" t="s">
        <v>154</v>
      </c>
      <c r="D108" s="81" t="s">
        <v>61</v>
      </c>
      <c r="E108" s="93" t="s">
        <v>38</v>
      </c>
      <c r="F108" s="53">
        <v>8</v>
      </c>
      <c r="G108" s="48">
        <v>19.53</v>
      </c>
      <c r="H108" s="50">
        <f t="shared" si="14"/>
        <v>156.24</v>
      </c>
    </row>
    <row r="109" spans="1:8" x14ac:dyDescent="0.3">
      <c r="A109" s="326" t="s">
        <v>552</v>
      </c>
      <c r="B109" s="327"/>
      <c r="C109" s="327"/>
      <c r="D109" s="327"/>
      <c r="E109" s="327"/>
      <c r="F109" s="327"/>
      <c r="G109" s="327"/>
      <c r="H109" s="328"/>
    </row>
    <row r="110" spans="1:8" x14ac:dyDescent="0.3">
      <c r="A110" s="78"/>
      <c r="B110" s="79"/>
      <c r="C110" s="79"/>
      <c r="D110" s="79"/>
      <c r="E110" s="79"/>
      <c r="F110" s="79"/>
      <c r="G110" s="79"/>
      <c r="H110" s="80"/>
    </row>
    <row r="111" spans="1:8" ht="12.75" customHeight="1" x14ac:dyDescent="0.3">
      <c r="A111" s="215" t="s">
        <v>138</v>
      </c>
      <c r="B111" s="204"/>
      <c r="C111" s="204"/>
      <c r="D111" s="135" t="s">
        <v>223</v>
      </c>
      <c r="E111" s="204" t="s">
        <v>13</v>
      </c>
      <c r="F111" s="329" t="s">
        <v>32</v>
      </c>
      <c r="G111" s="330"/>
      <c r="H111" s="207">
        <f>SUM(H112:H113)</f>
        <v>738.31000000000006</v>
      </c>
    </row>
    <row r="112" spans="1:8" x14ac:dyDescent="0.3">
      <c r="A112" s="95" t="s">
        <v>36</v>
      </c>
      <c r="B112" s="198" t="s">
        <v>69</v>
      </c>
      <c r="C112" s="150" t="str">
        <f>'MAPA DE COTAÇÃO'!A74</f>
        <v>C015</v>
      </c>
      <c r="D112" s="81" t="str">
        <f>'MAPA DE COTAÇÃO'!B74</f>
        <v>MONITOR LED 18,5", HD, WIDESCREEN - COM ENTRADA HDMI</v>
      </c>
      <c r="E112" s="150" t="str">
        <f>'MAPA DE COTAÇÃO'!C74</f>
        <v>UN</v>
      </c>
      <c r="F112" s="53">
        <v>1</v>
      </c>
      <c r="G112" s="48">
        <f>'MAPA DE COTAÇÃO'!G74</f>
        <v>730.72</v>
      </c>
      <c r="H112" s="50">
        <f t="shared" ref="H112:H113" si="15">TRUNC(G112*F112,2)</f>
        <v>730.72</v>
      </c>
    </row>
    <row r="113" spans="1:8" x14ac:dyDescent="0.3">
      <c r="A113" s="95" t="s">
        <v>37</v>
      </c>
      <c r="B113" s="198" t="s">
        <v>23</v>
      </c>
      <c r="C113" s="149" t="s">
        <v>153</v>
      </c>
      <c r="D113" s="81" t="s">
        <v>60</v>
      </c>
      <c r="E113" s="93" t="s">
        <v>38</v>
      </c>
      <c r="F113" s="53">
        <v>0.5</v>
      </c>
      <c r="G113" s="48">
        <v>15.19</v>
      </c>
      <c r="H113" s="50">
        <f t="shared" si="15"/>
        <v>7.59</v>
      </c>
    </row>
    <row r="114" spans="1:8" x14ac:dyDescent="0.3">
      <c r="A114" s="326" t="s">
        <v>76</v>
      </c>
      <c r="B114" s="327"/>
      <c r="C114" s="327"/>
      <c r="D114" s="327"/>
      <c r="E114" s="327"/>
      <c r="F114" s="327"/>
      <c r="G114" s="327"/>
      <c r="H114" s="328"/>
    </row>
    <row r="115" spans="1:8" x14ac:dyDescent="0.3">
      <c r="A115" s="78"/>
      <c r="B115" s="79"/>
      <c r="C115" s="79"/>
      <c r="D115" s="79"/>
      <c r="E115" s="79"/>
      <c r="F115" s="79"/>
      <c r="G115" s="79"/>
      <c r="H115" s="80"/>
    </row>
    <row r="116" spans="1:8" ht="27.6" x14ac:dyDescent="0.3">
      <c r="A116" s="215" t="s">
        <v>139</v>
      </c>
      <c r="B116" s="204"/>
      <c r="C116" s="204"/>
      <c r="D116" s="135" t="s">
        <v>225</v>
      </c>
      <c r="E116" s="204" t="s">
        <v>13</v>
      </c>
      <c r="F116" s="329" t="s">
        <v>32</v>
      </c>
      <c r="G116" s="330"/>
      <c r="H116" s="207">
        <f>SUM(H117:H118)</f>
        <v>4598.43</v>
      </c>
    </row>
    <row r="117" spans="1:8" ht="27.6" x14ac:dyDescent="0.3">
      <c r="A117" s="95" t="s">
        <v>36</v>
      </c>
      <c r="B117" s="198" t="s">
        <v>69</v>
      </c>
      <c r="C117" s="150" t="str">
        <f>'MAPA DE COTAÇÃO'!A78</f>
        <v>C016</v>
      </c>
      <c r="D117" s="153" t="str">
        <f>'MAPA DE COTAÇÃO'!B78</f>
        <v>GRAVADOR DE VÍDEO NVR 32 CANAIS - RESOLUÇÃO DE GRAVAÇÃO 8MP(4K) - 8HD'S - REF. INTELBRAS NVD 7132</v>
      </c>
      <c r="E117" s="150" t="str">
        <f>'MAPA DE COTAÇÃO'!C78</f>
        <v>UN</v>
      </c>
      <c r="F117" s="53">
        <v>1</v>
      </c>
      <c r="G117" s="48">
        <f>'MAPA DE COTAÇÃO'!G78</f>
        <v>4476.91</v>
      </c>
      <c r="H117" s="50">
        <f t="shared" ref="H117:H118" si="16">TRUNC(G117*F117,2)</f>
        <v>4476.91</v>
      </c>
    </row>
    <row r="118" spans="1:8" x14ac:dyDescent="0.3">
      <c r="A118" s="95" t="s">
        <v>37</v>
      </c>
      <c r="B118" s="198" t="s">
        <v>23</v>
      </c>
      <c r="C118" s="149" t="s">
        <v>153</v>
      </c>
      <c r="D118" s="81" t="s">
        <v>60</v>
      </c>
      <c r="E118" s="93" t="s">
        <v>38</v>
      </c>
      <c r="F118" s="53">
        <v>8</v>
      </c>
      <c r="G118" s="48">
        <v>15.19</v>
      </c>
      <c r="H118" s="50">
        <f t="shared" si="16"/>
        <v>121.52</v>
      </c>
    </row>
    <row r="119" spans="1:8" x14ac:dyDescent="0.3">
      <c r="A119" s="326" t="s">
        <v>552</v>
      </c>
      <c r="B119" s="327"/>
      <c r="C119" s="327"/>
      <c r="D119" s="327"/>
      <c r="E119" s="327"/>
      <c r="F119" s="327"/>
      <c r="G119" s="327"/>
      <c r="H119" s="328"/>
    </row>
    <row r="120" spans="1:8" x14ac:dyDescent="0.3">
      <c r="A120" s="78"/>
      <c r="B120" s="79"/>
      <c r="C120" s="79"/>
      <c r="D120" s="79"/>
      <c r="E120" s="79"/>
      <c r="F120" s="79"/>
      <c r="G120" s="79"/>
      <c r="H120" s="80"/>
    </row>
    <row r="121" spans="1:8" ht="27.6" x14ac:dyDescent="0.3">
      <c r="A121" s="215" t="s">
        <v>85</v>
      </c>
      <c r="B121" s="204"/>
      <c r="C121" s="204"/>
      <c r="D121" s="135" t="s">
        <v>227</v>
      </c>
      <c r="E121" s="204" t="s">
        <v>13</v>
      </c>
      <c r="F121" s="329" t="s">
        <v>32</v>
      </c>
      <c r="G121" s="330"/>
      <c r="H121" s="207">
        <f>SUM(H122:H123)</f>
        <v>942.46</v>
      </c>
    </row>
    <row r="122" spans="1:8" x14ac:dyDescent="0.3">
      <c r="A122" s="95" t="s">
        <v>36</v>
      </c>
      <c r="B122" s="198" t="s">
        <v>69</v>
      </c>
      <c r="C122" s="150" t="str">
        <f>'MAPA DE COTAÇÃO'!A82</f>
        <v>C017</v>
      </c>
      <c r="D122" s="153" t="str">
        <f>'MAPA DE COTAÇÃO'!B82</f>
        <v xml:space="preserve">HD DE 4TB - COMPATÍVEL COM NVR - REF. SEAGATE ST4000VX000 </v>
      </c>
      <c r="E122" s="150" t="str">
        <f>'MAPA DE COTAÇÃO'!C82</f>
        <v>UN</v>
      </c>
      <c r="F122" s="53">
        <v>1</v>
      </c>
      <c r="G122" s="48">
        <f>'MAPA DE COTAÇÃO'!G82</f>
        <v>927.27</v>
      </c>
      <c r="H122" s="50">
        <f t="shared" ref="H122:H123" si="17">TRUNC(G122*F122,2)</f>
        <v>927.27</v>
      </c>
    </row>
    <row r="123" spans="1:8" x14ac:dyDescent="0.3">
      <c r="A123" s="95" t="s">
        <v>37</v>
      </c>
      <c r="B123" s="198" t="s">
        <v>23</v>
      </c>
      <c r="C123" s="149" t="s">
        <v>153</v>
      </c>
      <c r="D123" s="81" t="s">
        <v>60</v>
      </c>
      <c r="E123" s="93" t="s">
        <v>38</v>
      </c>
      <c r="F123" s="53">
        <v>1</v>
      </c>
      <c r="G123" s="48">
        <v>15.19</v>
      </c>
      <c r="H123" s="50">
        <f t="shared" si="17"/>
        <v>15.19</v>
      </c>
    </row>
    <row r="124" spans="1:8" x14ac:dyDescent="0.3">
      <c r="A124" s="326" t="s">
        <v>76</v>
      </c>
      <c r="B124" s="327"/>
      <c r="C124" s="327"/>
      <c r="D124" s="327"/>
      <c r="E124" s="327"/>
      <c r="F124" s="327"/>
      <c r="G124" s="327"/>
      <c r="H124" s="328"/>
    </row>
    <row r="125" spans="1:8" x14ac:dyDescent="0.3">
      <c r="A125" s="78"/>
      <c r="B125" s="79"/>
      <c r="C125" s="79"/>
      <c r="D125" s="79"/>
      <c r="E125" s="79"/>
      <c r="F125" s="79"/>
      <c r="G125" s="79"/>
      <c r="H125" s="80"/>
    </row>
    <row r="126" spans="1:8" ht="27.6" x14ac:dyDescent="0.3">
      <c r="A126" s="215" t="s">
        <v>86</v>
      </c>
      <c r="B126" s="204"/>
      <c r="C126" s="204"/>
      <c r="D126" s="135" t="s">
        <v>209</v>
      </c>
      <c r="E126" s="204" t="s">
        <v>13</v>
      </c>
      <c r="F126" s="329" t="s">
        <v>32</v>
      </c>
      <c r="G126" s="330"/>
      <c r="H126" s="207">
        <f>SUM(H127:H129)</f>
        <v>34.82</v>
      </c>
    </row>
    <row r="127" spans="1:8" x14ac:dyDescent="0.3">
      <c r="A127" s="95" t="s">
        <v>36</v>
      </c>
      <c r="B127" s="198" t="s">
        <v>23</v>
      </c>
      <c r="C127" s="150">
        <v>39607</v>
      </c>
      <c r="D127" s="81" t="s">
        <v>453</v>
      </c>
      <c r="E127" s="150" t="s">
        <v>13</v>
      </c>
      <c r="F127" s="53">
        <v>1</v>
      </c>
      <c r="G127" s="48">
        <v>27.89</v>
      </c>
      <c r="H127" s="50">
        <f t="shared" ref="H127:H129" si="18">TRUNC(G127*F127,2)</f>
        <v>27.89</v>
      </c>
    </row>
    <row r="128" spans="1:8" x14ac:dyDescent="0.3">
      <c r="A128" s="95" t="s">
        <v>37</v>
      </c>
      <c r="B128" s="198" t="s">
        <v>23</v>
      </c>
      <c r="C128" s="149" t="s">
        <v>154</v>
      </c>
      <c r="D128" s="81" t="s">
        <v>61</v>
      </c>
      <c r="E128" s="93" t="s">
        <v>38</v>
      </c>
      <c r="F128" s="53">
        <v>0.2</v>
      </c>
      <c r="G128" s="48">
        <v>19.53</v>
      </c>
      <c r="H128" s="50">
        <f t="shared" si="18"/>
        <v>3.9</v>
      </c>
    </row>
    <row r="129" spans="1:8" x14ac:dyDescent="0.3">
      <c r="A129" s="95" t="s">
        <v>37</v>
      </c>
      <c r="B129" s="198" t="s">
        <v>23</v>
      </c>
      <c r="C129" s="149" t="s">
        <v>153</v>
      </c>
      <c r="D129" s="81" t="s">
        <v>60</v>
      </c>
      <c r="E129" s="93" t="s">
        <v>38</v>
      </c>
      <c r="F129" s="53">
        <v>0.2</v>
      </c>
      <c r="G129" s="48">
        <v>15.19</v>
      </c>
      <c r="H129" s="50">
        <f t="shared" si="18"/>
        <v>3.03</v>
      </c>
    </row>
    <row r="130" spans="1:8" x14ac:dyDescent="0.3">
      <c r="A130" s="326" t="s">
        <v>551</v>
      </c>
      <c r="B130" s="327"/>
      <c r="C130" s="327"/>
      <c r="D130" s="327"/>
      <c r="E130" s="327"/>
      <c r="F130" s="327"/>
      <c r="G130" s="327"/>
      <c r="H130" s="328"/>
    </row>
    <row r="131" spans="1:8" x14ac:dyDescent="0.3">
      <c r="A131" s="78"/>
      <c r="B131" s="79"/>
      <c r="C131" s="79"/>
      <c r="D131" s="79"/>
      <c r="E131" s="79"/>
      <c r="F131" s="79"/>
      <c r="G131" s="79"/>
      <c r="H131" s="80"/>
    </row>
    <row r="132" spans="1:8" x14ac:dyDescent="0.3">
      <c r="A132" s="215" t="s">
        <v>98</v>
      </c>
      <c r="B132" s="204"/>
      <c r="C132" s="204"/>
      <c r="D132" s="135" t="s">
        <v>211</v>
      </c>
      <c r="E132" s="204" t="s">
        <v>33</v>
      </c>
      <c r="F132" s="329" t="s">
        <v>32</v>
      </c>
      <c r="G132" s="330"/>
      <c r="H132" s="207">
        <f>SUM(H133:H134)</f>
        <v>4.74</v>
      </c>
    </row>
    <row r="133" spans="1:8" x14ac:dyDescent="0.3">
      <c r="A133" s="95" t="s">
        <v>36</v>
      </c>
      <c r="B133" s="198" t="s">
        <v>69</v>
      </c>
      <c r="C133" s="150" t="str">
        <f>'MAPA DE COTAÇÃO'!A86</f>
        <v>C018</v>
      </c>
      <c r="D133" s="81" t="str">
        <f>'MAPA DE COTAÇÃO'!B86</f>
        <v>FIBRA ÓPTICA - 6FO - MONOMODO</v>
      </c>
      <c r="E133" s="150" t="str">
        <f>'MAPA DE COTAÇÃO'!C86</f>
        <v>M</v>
      </c>
      <c r="F133" s="53">
        <v>1</v>
      </c>
      <c r="G133" s="48">
        <f>'MAPA DE COTAÇÃO'!G86</f>
        <v>2.0099999999999998</v>
      </c>
      <c r="H133" s="50">
        <f t="shared" ref="H133:H134" si="19">TRUNC(G133*F133,2)</f>
        <v>2.0099999999999998</v>
      </c>
    </row>
    <row r="134" spans="1:8" x14ac:dyDescent="0.3">
      <c r="A134" s="95" t="s">
        <v>37</v>
      </c>
      <c r="B134" s="198" t="s">
        <v>23</v>
      </c>
      <c r="C134" s="149" t="s">
        <v>154</v>
      </c>
      <c r="D134" s="81" t="s">
        <v>61</v>
      </c>
      <c r="E134" s="93" t="s">
        <v>38</v>
      </c>
      <c r="F134" s="53">
        <v>0.14000000000000001</v>
      </c>
      <c r="G134" s="48">
        <v>19.53</v>
      </c>
      <c r="H134" s="50">
        <f t="shared" si="19"/>
        <v>2.73</v>
      </c>
    </row>
    <row r="135" spans="1:8" x14ac:dyDescent="0.3">
      <c r="A135" s="326" t="s">
        <v>553</v>
      </c>
      <c r="B135" s="327"/>
      <c r="C135" s="327"/>
      <c r="D135" s="327"/>
      <c r="E135" s="327"/>
      <c r="F135" s="327"/>
      <c r="G135" s="327"/>
      <c r="H135" s="328"/>
    </row>
    <row r="136" spans="1:8" x14ac:dyDescent="0.3">
      <c r="A136" s="78"/>
      <c r="B136" s="79"/>
      <c r="C136" s="79"/>
      <c r="D136" s="79"/>
      <c r="E136" s="79"/>
      <c r="F136" s="79"/>
      <c r="G136" s="79"/>
      <c r="H136" s="80"/>
    </row>
    <row r="137" spans="1:8" x14ac:dyDescent="0.3">
      <c r="A137" s="215" t="s">
        <v>87</v>
      </c>
      <c r="B137" s="204"/>
      <c r="C137" s="204"/>
      <c r="D137" s="135" t="s">
        <v>212</v>
      </c>
      <c r="E137" s="204" t="s">
        <v>33</v>
      </c>
      <c r="F137" s="329" t="s">
        <v>32</v>
      </c>
      <c r="G137" s="330"/>
      <c r="H137" s="207">
        <f>SUM(H138:H140)</f>
        <v>17.97</v>
      </c>
    </row>
    <row r="138" spans="1:8" x14ac:dyDescent="0.3">
      <c r="A138" s="95" t="s">
        <v>36</v>
      </c>
      <c r="B138" s="198" t="s">
        <v>69</v>
      </c>
      <c r="C138" s="150" t="str">
        <f>'MAPA DE COTAÇÃO'!A90</f>
        <v>C019</v>
      </c>
      <c r="D138" s="81" t="str">
        <f>'MAPA DE COTAÇÃO'!B90</f>
        <v>FIBRA ÓPTICA - 48FO - MONOMODO</v>
      </c>
      <c r="E138" s="150" t="str">
        <f>'MAPA DE COTAÇÃO'!C90</f>
        <v>M</v>
      </c>
      <c r="F138" s="53">
        <v>1</v>
      </c>
      <c r="G138" s="48">
        <f>'MAPA DE COTAÇÃO'!G90</f>
        <v>13.12</v>
      </c>
      <c r="H138" s="50">
        <f t="shared" ref="H138:H140" si="20">TRUNC(G138*F138,2)</f>
        <v>13.12</v>
      </c>
    </row>
    <row r="139" spans="1:8" x14ac:dyDescent="0.3">
      <c r="A139" s="95" t="s">
        <v>37</v>
      </c>
      <c r="B139" s="198" t="s">
        <v>23</v>
      </c>
      <c r="C139" s="149" t="s">
        <v>154</v>
      </c>
      <c r="D139" s="81" t="s">
        <v>61</v>
      </c>
      <c r="E139" s="93" t="s">
        <v>38</v>
      </c>
      <c r="F139" s="53">
        <v>0.14000000000000001</v>
      </c>
      <c r="G139" s="48">
        <v>19.53</v>
      </c>
      <c r="H139" s="50">
        <f t="shared" si="20"/>
        <v>2.73</v>
      </c>
    </row>
    <row r="140" spans="1:8" x14ac:dyDescent="0.3">
      <c r="A140" s="95" t="s">
        <v>37</v>
      </c>
      <c r="B140" s="198" t="s">
        <v>23</v>
      </c>
      <c r="C140" s="149" t="s">
        <v>153</v>
      </c>
      <c r="D140" s="81" t="s">
        <v>60</v>
      </c>
      <c r="E140" s="93" t="s">
        <v>38</v>
      </c>
      <c r="F140" s="53">
        <v>0.14000000000000001</v>
      </c>
      <c r="G140" s="48">
        <v>15.19</v>
      </c>
      <c r="H140" s="50">
        <f t="shared" si="20"/>
        <v>2.12</v>
      </c>
    </row>
    <row r="141" spans="1:8" x14ac:dyDescent="0.3">
      <c r="A141" s="326" t="s">
        <v>553</v>
      </c>
      <c r="B141" s="327"/>
      <c r="C141" s="327"/>
      <c r="D141" s="327"/>
      <c r="E141" s="327"/>
      <c r="F141" s="327"/>
      <c r="G141" s="327"/>
      <c r="H141" s="328"/>
    </row>
    <row r="142" spans="1:8" x14ac:dyDescent="0.3">
      <c r="A142" s="78"/>
      <c r="B142" s="79"/>
      <c r="C142" s="79"/>
      <c r="D142" s="79"/>
      <c r="E142" s="79"/>
      <c r="F142" s="79"/>
      <c r="G142" s="79"/>
      <c r="H142" s="80"/>
    </row>
    <row r="143" spans="1:8" x14ac:dyDescent="0.3">
      <c r="A143" s="215" t="s">
        <v>88</v>
      </c>
      <c r="B143" s="204"/>
      <c r="C143" s="204"/>
      <c r="D143" s="135" t="s">
        <v>215</v>
      </c>
      <c r="E143" s="204" t="s">
        <v>13</v>
      </c>
      <c r="F143" s="329" t="s">
        <v>32</v>
      </c>
      <c r="G143" s="330"/>
      <c r="H143" s="207">
        <f>SUM(H144:H146)</f>
        <v>20.8</v>
      </c>
    </row>
    <row r="144" spans="1:8" x14ac:dyDescent="0.3">
      <c r="A144" s="95" t="s">
        <v>36</v>
      </c>
      <c r="B144" s="198" t="s">
        <v>69</v>
      </c>
      <c r="C144" s="150" t="str">
        <f>'MAPA DE COTAÇÃO'!A94</f>
        <v>C020</v>
      </c>
      <c r="D144" s="81" t="str">
        <f>'MAPA DE COTAÇÃO'!B94</f>
        <v>PIGTAIL - CONECTOR SC - 1,5M</v>
      </c>
      <c r="E144" s="150" t="str">
        <f>'MAPA DE COTAÇÃO'!C94</f>
        <v>UN</v>
      </c>
      <c r="F144" s="53">
        <v>1</v>
      </c>
      <c r="G144" s="48">
        <f>'MAPA DE COTAÇÃO'!G94</f>
        <v>15.95</v>
      </c>
      <c r="H144" s="50">
        <f t="shared" ref="H144:H146" si="21">TRUNC(G144*F144,2)</f>
        <v>15.95</v>
      </c>
    </row>
    <row r="145" spans="1:8" x14ac:dyDescent="0.3">
      <c r="A145" s="95" t="s">
        <v>37</v>
      </c>
      <c r="B145" s="198" t="s">
        <v>23</v>
      </c>
      <c r="C145" s="149" t="s">
        <v>154</v>
      </c>
      <c r="D145" s="81" t="s">
        <v>61</v>
      </c>
      <c r="E145" s="93" t="s">
        <v>38</v>
      </c>
      <c r="F145" s="53">
        <v>0.14000000000000001</v>
      </c>
      <c r="G145" s="48">
        <v>19.53</v>
      </c>
      <c r="H145" s="50">
        <f t="shared" si="21"/>
        <v>2.73</v>
      </c>
    </row>
    <row r="146" spans="1:8" x14ac:dyDescent="0.3">
      <c r="A146" s="95" t="s">
        <v>37</v>
      </c>
      <c r="B146" s="198" t="s">
        <v>23</v>
      </c>
      <c r="C146" s="149" t="s">
        <v>153</v>
      </c>
      <c r="D146" s="81" t="s">
        <v>60</v>
      </c>
      <c r="E146" s="93" t="s">
        <v>38</v>
      </c>
      <c r="F146" s="53">
        <v>0.14000000000000001</v>
      </c>
      <c r="G146" s="48">
        <v>15.19</v>
      </c>
      <c r="H146" s="50">
        <f t="shared" si="21"/>
        <v>2.12</v>
      </c>
    </row>
    <row r="147" spans="1:8" x14ac:dyDescent="0.3">
      <c r="A147" s="326" t="s">
        <v>553</v>
      </c>
      <c r="B147" s="327"/>
      <c r="C147" s="327"/>
      <c r="D147" s="327"/>
      <c r="E147" s="327"/>
      <c r="F147" s="327"/>
      <c r="G147" s="327"/>
      <c r="H147" s="328"/>
    </row>
    <row r="148" spans="1:8" x14ac:dyDescent="0.3">
      <c r="A148" s="78"/>
      <c r="B148" s="79"/>
      <c r="C148" s="79"/>
      <c r="D148" s="79"/>
      <c r="E148" s="79"/>
      <c r="F148" s="79"/>
      <c r="G148" s="79"/>
      <c r="H148" s="80"/>
    </row>
    <row r="149" spans="1:8" x14ac:dyDescent="0.3">
      <c r="A149" s="215" t="s">
        <v>109</v>
      </c>
      <c r="B149" s="220"/>
      <c r="C149" s="220"/>
      <c r="D149" s="135" t="s">
        <v>579</v>
      </c>
      <c r="E149" s="220" t="s">
        <v>13</v>
      </c>
      <c r="F149" s="329" t="s">
        <v>32</v>
      </c>
      <c r="G149" s="330"/>
      <c r="H149" s="221">
        <f>SUM(H150:H152)</f>
        <v>5.3900000000000006</v>
      </c>
    </row>
    <row r="150" spans="1:8" ht="27.6" x14ac:dyDescent="0.3">
      <c r="A150" s="95" t="s">
        <v>36</v>
      </c>
      <c r="B150" s="219" t="s">
        <v>69</v>
      </c>
      <c r="C150" s="150">
        <v>2488</v>
      </c>
      <c r="D150" s="81" t="s">
        <v>578</v>
      </c>
      <c r="E150" s="150" t="s">
        <v>13</v>
      </c>
      <c r="F150" s="53">
        <v>1</v>
      </c>
      <c r="G150" s="48">
        <v>1.73</v>
      </c>
      <c r="H150" s="50">
        <f t="shared" ref="H150:H152" si="22">TRUNC(G150*F150,2)</f>
        <v>1.73</v>
      </c>
    </row>
    <row r="151" spans="1:8" x14ac:dyDescent="0.3">
      <c r="A151" s="95" t="s">
        <v>37</v>
      </c>
      <c r="B151" s="219" t="s">
        <v>23</v>
      </c>
      <c r="C151" s="149" t="s">
        <v>154</v>
      </c>
      <c r="D151" s="81" t="s">
        <v>61</v>
      </c>
      <c r="E151" s="93" t="s">
        <v>38</v>
      </c>
      <c r="F151" s="53">
        <v>0.1057</v>
      </c>
      <c r="G151" s="48">
        <v>19.53</v>
      </c>
      <c r="H151" s="50">
        <f t="shared" si="22"/>
        <v>2.06</v>
      </c>
    </row>
    <row r="152" spans="1:8" x14ac:dyDescent="0.3">
      <c r="A152" s="95" t="s">
        <v>37</v>
      </c>
      <c r="B152" s="219" t="s">
        <v>23</v>
      </c>
      <c r="C152" s="149" t="s">
        <v>153</v>
      </c>
      <c r="D152" s="81" t="s">
        <v>60</v>
      </c>
      <c r="E152" s="93" t="s">
        <v>38</v>
      </c>
      <c r="F152" s="53">
        <v>0.1057</v>
      </c>
      <c r="G152" s="48">
        <v>15.19</v>
      </c>
      <c r="H152" s="50">
        <f t="shared" si="22"/>
        <v>1.6</v>
      </c>
    </row>
    <row r="153" spans="1:8" x14ac:dyDescent="0.3">
      <c r="A153" s="326" t="s">
        <v>573</v>
      </c>
      <c r="B153" s="327"/>
      <c r="C153" s="327"/>
      <c r="D153" s="327"/>
      <c r="E153" s="327"/>
      <c r="F153" s="327"/>
      <c r="G153" s="327"/>
      <c r="H153" s="328"/>
    </row>
    <row r="154" spans="1:8" x14ac:dyDescent="0.3">
      <c r="A154" s="78"/>
      <c r="B154" s="79"/>
      <c r="C154" s="79"/>
      <c r="D154" s="79"/>
      <c r="E154" s="79"/>
      <c r="F154" s="79"/>
      <c r="G154" s="79"/>
      <c r="H154" s="80"/>
    </row>
    <row r="155" spans="1:8" ht="41.4" x14ac:dyDescent="0.3">
      <c r="A155" s="215" t="s">
        <v>110</v>
      </c>
      <c r="B155" s="220"/>
      <c r="C155" s="220"/>
      <c r="D155" s="135" t="s">
        <v>586</v>
      </c>
      <c r="E155" s="220" t="s">
        <v>13</v>
      </c>
      <c r="F155" s="329" t="s">
        <v>32</v>
      </c>
      <c r="G155" s="330"/>
      <c r="H155" s="221">
        <f>SUM(H156:H158)</f>
        <v>23.68</v>
      </c>
    </row>
    <row r="156" spans="1:8" x14ac:dyDescent="0.3">
      <c r="A156" s="95" t="s">
        <v>36</v>
      </c>
      <c r="B156" s="219" t="s">
        <v>23</v>
      </c>
      <c r="C156" s="150">
        <v>1813</v>
      </c>
      <c r="D156" s="81" t="s">
        <v>585</v>
      </c>
      <c r="E156" s="150" t="s">
        <v>13</v>
      </c>
      <c r="F156" s="53">
        <v>1</v>
      </c>
      <c r="G156" s="48">
        <v>20.02</v>
      </c>
      <c r="H156" s="50">
        <f t="shared" ref="H156:H158" si="23">TRUNC(G156*F156,2)</f>
        <v>20.02</v>
      </c>
    </row>
    <row r="157" spans="1:8" x14ac:dyDescent="0.3">
      <c r="A157" s="95" t="s">
        <v>37</v>
      </c>
      <c r="B157" s="219" t="s">
        <v>23</v>
      </c>
      <c r="C157" s="149" t="s">
        <v>154</v>
      </c>
      <c r="D157" s="81" t="s">
        <v>61</v>
      </c>
      <c r="E157" s="93" t="s">
        <v>38</v>
      </c>
      <c r="F157" s="53">
        <v>0.1057</v>
      </c>
      <c r="G157" s="48">
        <v>19.53</v>
      </c>
      <c r="H157" s="50">
        <f t="shared" si="23"/>
        <v>2.06</v>
      </c>
    </row>
    <row r="158" spans="1:8" x14ac:dyDescent="0.3">
      <c r="A158" s="95" t="s">
        <v>37</v>
      </c>
      <c r="B158" s="219" t="s">
        <v>23</v>
      </c>
      <c r="C158" s="149" t="s">
        <v>153</v>
      </c>
      <c r="D158" s="81" t="s">
        <v>60</v>
      </c>
      <c r="E158" s="93" t="s">
        <v>38</v>
      </c>
      <c r="F158" s="53">
        <v>0.1057</v>
      </c>
      <c r="G158" s="48">
        <v>15.19</v>
      </c>
      <c r="H158" s="50">
        <f t="shared" si="23"/>
        <v>1.6</v>
      </c>
    </row>
    <row r="159" spans="1:8" x14ac:dyDescent="0.3">
      <c r="A159" s="326" t="s">
        <v>584</v>
      </c>
      <c r="B159" s="327"/>
      <c r="C159" s="327"/>
      <c r="D159" s="327"/>
      <c r="E159" s="327"/>
      <c r="F159" s="327"/>
      <c r="G159" s="327"/>
      <c r="H159" s="328"/>
    </row>
    <row r="160" spans="1:8" x14ac:dyDescent="0.3">
      <c r="A160" s="78"/>
      <c r="B160" s="79"/>
      <c r="C160" s="79"/>
      <c r="D160" s="79"/>
      <c r="E160" s="79"/>
      <c r="F160" s="79"/>
      <c r="G160" s="79"/>
      <c r="H160" s="80"/>
    </row>
    <row r="161" spans="1:8" ht="41.4" x14ac:dyDescent="0.3">
      <c r="A161" s="215" t="s">
        <v>157</v>
      </c>
      <c r="B161" s="220"/>
      <c r="C161" s="220"/>
      <c r="D161" s="135" t="s">
        <v>587</v>
      </c>
      <c r="E161" s="220" t="s">
        <v>13</v>
      </c>
      <c r="F161" s="329" t="s">
        <v>32</v>
      </c>
      <c r="G161" s="330"/>
      <c r="H161" s="221">
        <f>SUM(H162:H164)</f>
        <v>33.86</v>
      </c>
    </row>
    <row r="162" spans="1:8" x14ac:dyDescent="0.3">
      <c r="A162" s="95" t="s">
        <v>36</v>
      </c>
      <c r="B162" s="219" t="s">
        <v>23</v>
      </c>
      <c r="C162" s="150">
        <v>1787</v>
      </c>
      <c r="D162" s="81" t="s">
        <v>588</v>
      </c>
      <c r="E162" s="150" t="s">
        <v>13</v>
      </c>
      <c r="F162" s="53">
        <v>1</v>
      </c>
      <c r="G162" s="48">
        <v>30.2</v>
      </c>
      <c r="H162" s="50">
        <f t="shared" ref="H162:H164" si="24">TRUNC(G162*F162,2)</f>
        <v>30.2</v>
      </c>
    </row>
    <row r="163" spans="1:8" x14ac:dyDescent="0.3">
      <c r="A163" s="95" t="s">
        <v>37</v>
      </c>
      <c r="B163" s="219" t="s">
        <v>23</v>
      </c>
      <c r="C163" s="149" t="s">
        <v>154</v>
      </c>
      <c r="D163" s="81" t="s">
        <v>61</v>
      </c>
      <c r="E163" s="93" t="s">
        <v>38</v>
      </c>
      <c r="F163" s="53">
        <v>0.1057</v>
      </c>
      <c r="G163" s="48">
        <v>19.53</v>
      </c>
      <c r="H163" s="50">
        <f t="shared" si="24"/>
        <v>2.06</v>
      </c>
    </row>
    <row r="164" spans="1:8" x14ac:dyDescent="0.3">
      <c r="A164" s="95" t="s">
        <v>37</v>
      </c>
      <c r="B164" s="219" t="s">
        <v>23</v>
      </c>
      <c r="C164" s="149" t="s">
        <v>153</v>
      </c>
      <c r="D164" s="81" t="s">
        <v>60</v>
      </c>
      <c r="E164" s="93" t="s">
        <v>38</v>
      </c>
      <c r="F164" s="53">
        <v>0.1057</v>
      </c>
      <c r="G164" s="48">
        <v>15.19</v>
      </c>
      <c r="H164" s="50">
        <f t="shared" si="24"/>
        <v>1.6</v>
      </c>
    </row>
    <row r="165" spans="1:8" x14ac:dyDescent="0.3">
      <c r="A165" s="326" t="s">
        <v>584</v>
      </c>
      <c r="B165" s="327"/>
      <c r="C165" s="327"/>
      <c r="D165" s="327"/>
      <c r="E165" s="327"/>
      <c r="F165" s="327"/>
      <c r="G165" s="327"/>
      <c r="H165" s="328"/>
    </row>
    <row r="166" spans="1:8" x14ac:dyDescent="0.3">
      <c r="A166" s="78"/>
      <c r="B166" s="79"/>
      <c r="C166" s="79"/>
      <c r="D166" s="79"/>
      <c r="E166" s="79"/>
      <c r="F166" s="79"/>
      <c r="G166" s="79"/>
      <c r="H166" s="80"/>
    </row>
    <row r="167" spans="1:8" ht="27.6" x14ac:dyDescent="0.3">
      <c r="A167" s="215" t="s">
        <v>158</v>
      </c>
      <c r="B167" s="204"/>
      <c r="C167" s="204"/>
      <c r="D167" s="135" t="s">
        <v>238</v>
      </c>
      <c r="E167" s="204" t="s">
        <v>591</v>
      </c>
      <c r="F167" s="317" t="s">
        <v>32</v>
      </c>
      <c r="G167" s="317"/>
      <c r="H167" s="207">
        <f>SUM(H168:H170)</f>
        <v>88.09</v>
      </c>
    </row>
    <row r="168" spans="1:8" x14ac:dyDescent="0.3">
      <c r="A168" s="95" t="s">
        <v>36</v>
      </c>
      <c r="B168" s="198" t="s">
        <v>23</v>
      </c>
      <c r="C168" s="94">
        <v>39028</v>
      </c>
      <c r="D168" s="81" t="s">
        <v>360</v>
      </c>
      <c r="E168" s="93" t="s">
        <v>33</v>
      </c>
      <c r="F168" s="53">
        <v>6</v>
      </c>
      <c r="G168" s="48">
        <v>11.79</v>
      </c>
      <c r="H168" s="50">
        <f t="shared" ref="H168:H170" si="25">TRUNC(G168*F168,2)</f>
        <v>70.739999999999995</v>
      </c>
    </row>
    <row r="169" spans="1:8" x14ac:dyDescent="0.3">
      <c r="A169" s="95" t="s">
        <v>77</v>
      </c>
      <c r="B169" s="198" t="s">
        <v>23</v>
      </c>
      <c r="C169" s="149" t="s">
        <v>153</v>
      </c>
      <c r="D169" s="81" t="s">
        <v>60</v>
      </c>
      <c r="E169" s="93" t="s">
        <v>38</v>
      </c>
      <c r="F169" s="53">
        <v>0.5</v>
      </c>
      <c r="G169" s="48">
        <v>15.19</v>
      </c>
      <c r="H169" s="50">
        <f t="shared" si="25"/>
        <v>7.59</v>
      </c>
    </row>
    <row r="170" spans="1:8" x14ac:dyDescent="0.3">
      <c r="A170" s="95" t="s">
        <v>77</v>
      </c>
      <c r="B170" s="198" t="s">
        <v>23</v>
      </c>
      <c r="C170" s="149" t="s">
        <v>154</v>
      </c>
      <c r="D170" s="81" t="s">
        <v>61</v>
      </c>
      <c r="E170" s="93" t="s">
        <v>38</v>
      </c>
      <c r="F170" s="53">
        <v>0.5</v>
      </c>
      <c r="G170" s="48">
        <v>19.53</v>
      </c>
      <c r="H170" s="50">
        <f t="shared" si="25"/>
        <v>9.76</v>
      </c>
    </row>
    <row r="171" spans="1:8" x14ac:dyDescent="0.3">
      <c r="A171" s="326" t="s">
        <v>554</v>
      </c>
      <c r="B171" s="327"/>
      <c r="C171" s="327"/>
      <c r="D171" s="327"/>
      <c r="E171" s="327"/>
      <c r="F171" s="327"/>
      <c r="G171" s="327"/>
      <c r="H171" s="328"/>
    </row>
    <row r="172" spans="1:8" x14ac:dyDescent="0.3">
      <c r="A172" s="78"/>
      <c r="B172" s="79"/>
      <c r="C172" s="79"/>
      <c r="D172" s="79"/>
      <c r="E172" s="79"/>
      <c r="F172" s="79"/>
      <c r="G172" s="79"/>
      <c r="H172" s="80"/>
    </row>
    <row r="173" spans="1:8" ht="27.6" x14ac:dyDescent="0.3">
      <c r="A173" s="215" t="s">
        <v>159</v>
      </c>
      <c r="B173" s="204"/>
      <c r="C173" s="204"/>
      <c r="D173" s="2" t="s">
        <v>236</v>
      </c>
      <c r="E173" s="204" t="s">
        <v>33</v>
      </c>
      <c r="F173" s="317" t="s">
        <v>32</v>
      </c>
      <c r="G173" s="317"/>
      <c r="H173" s="207">
        <f>SUM(H174:H181)</f>
        <v>25.480000000000004</v>
      </c>
    </row>
    <row r="174" spans="1:8" ht="27.6" x14ac:dyDescent="0.3">
      <c r="A174" s="95" t="s">
        <v>36</v>
      </c>
      <c r="B174" s="198" t="s">
        <v>23</v>
      </c>
      <c r="C174" s="94">
        <v>11267</v>
      </c>
      <c r="D174" s="81" t="s">
        <v>179</v>
      </c>
      <c r="E174" s="198" t="s">
        <v>13</v>
      </c>
      <c r="F174" s="53">
        <v>4</v>
      </c>
      <c r="G174" s="48">
        <v>0.8</v>
      </c>
      <c r="H174" s="50">
        <f t="shared" ref="H174:H181" si="26">TRUNC(G174*F174,2)</f>
        <v>3.2</v>
      </c>
    </row>
    <row r="175" spans="1:8" x14ac:dyDescent="0.3">
      <c r="A175" s="95" t="s">
        <v>36</v>
      </c>
      <c r="B175" s="198" t="s">
        <v>23</v>
      </c>
      <c r="C175" s="94">
        <v>11976</v>
      </c>
      <c r="D175" s="81" t="s">
        <v>141</v>
      </c>
      <c r="E175" s="198" t="s">
        <v>13</v>
      </c>
      <c r="F175" s="53">
        <v>1.333</v>
      </c>
      <c r="G175" s="48">
        <v>1.1399999999999999</v>
      </c>
      <c r="H175" s="50">
        <f t="shared" si="26"/>
        <v>1.51</v>
      </c>
    </row>
    <row r="176" spans="1:8" x14ac:dyDescent="0.3">
      <c r="A176" s="95" t="s">
        <v>36</v>
      </c>
      <c r="B176" s="198" t="s">
        <v>69</v>
      </c>
      <c r="C176" s="150" t="str">
        <f>'MAPA DE COTAÇÃO'!$A$102</f>
        <v>C022</v>
      </c>
      <c r="D176" s="81" t="str">
        <f>'MAPA DE COTAÇÃO'!$B$102</f>
        <v>SUSPENSÃO BAIXA PARA TIRANTE - 38MM</v>
      </c>
      <c r="E176" s="150" t="str">
        <f>'MAPA DE COTAÇÃO'!$C$102</f>
        <v>UN</v>
      </c>
      <c r="F176" s="53">
        <v>0.33333333333333331</v>
      </c>
      <c r="G176" s="48">
        <f>'MAPA DE COTAÇÃO'!$G$102</f>
        <v>7.3</v>
      </c>
      <c r="H176" s="50">
        <f t="shared" si="26"/>
        <v>2.4300000000000002</v>
      </c>
    </row>
    <row r="177" spans="1:8" x14ac:dyDescent="0.3">
      <c r="A177" s="95" t="s">
        <v>36</v>
      </c>
      <c r="B177" s="198" t="s">
        <v>23</v>
      </c>
      <c r="C177" s="94">
        <v>39997</v>
      </c>
      <c r="D177" s="81" t="s">
        <v>144</v>
      </c>
      <c r="E177" s="198" t="s">
        <v>13</v>
      </c>
      <c r="F177" s="53">
        <v>0.46700000000000003</v>
      </c>
      <c r="G177" s="48">
        <v>0.28000000000000003</v>
      </c>
      <c r="H177" s="50">
        <f t="shared" si="26"/>
        <v>0.13</v>
      </c>
    </row>
    <row r="178" spans="1:8" x14ac:dyDescent="0.3">
      <c r="A178" s="95" t="s">
        <v>36</v>
      </c>
      <c r="B178" s="198" t="s">
        <v>23</v>
      </c>
      <c r="C178" s="94">
        <v>39996</v>
      </c>
      <c r="D178" s="81" t="s">
        <v>143</v>
      </c>
      <c r="E178" s="198" t="s">
        <v>33</v>
      </c>
      <c r="F178" s="53">
        <v>0.46700000000000003</v>
      </c>
      <c r="G178" s="48">
        <v>4.53</v>
      </c>
      <c r="H178" s="50">
        <f t="shared" si="26"/>
        <v>2.11</v>
      </c>
    </row>
    <row r="179" spans="1:8" x14ac:dyDescent="0.3">
      <c r="A179" s="95" t="s">
        <v>36</v>
      </c>
      <c r="B179" s="198" t="s">
        <v>23</v>
      </c>
      <c r="C179" s="94">
        <v>4376</v>
      </c>
      <c r="D179" s="81" t="s">
        <v>490</v>
      </c>
      <c r="E179" s="198" t="s">
        <v>13</v>
      </c>
      <c r="F179" s="53">
        <v>0.46700000000000003</v>
      </c>
      <c r="G179" s="48">
        <v>0.19</v>
      </c>
      <c r="H179" s="50">
        <f t="shared" si="26"/>
        <v>0.08</v>
      </c>
    </row>
    <row r="180" spans="1:8" x14ac:dyDescent="0.3">
      <c r="A180" s="95" t="s">
        <v>77</v>
      </c>
      <c r="B180" s="198" t="s">
        <v>23</v>
      </c>
      <c r="C180" s="149" t="s">
        <v>200</v>
      </c>
      <c r="D180" s="49" t="s">
        <v>84</v>
      </c>
      <c r="E180" s="198" t="s">
        <v>38</v>
      </c>
      <c r="F180" s="53">
        <v>0.85</v>
      </c>
      <c r="G180" s="48">
        <v>15.16</v>
      </c>
      <c r="H180" s="50">
        <f t="shared" si="26"/>
        <v>12.88</v>
      </c>
    </row>
    <row r="181" spans="1:8" x14ac:dyDescent="0.3">
      <c r="A181" s="95" t="s">
        <v>77</v>
      </c>
      <c r="B181" s="198" t="s">
        <v>23</v>
      </c>
      <c r="C181" s="149" t="s">
        <v>154</v>
      </c>
      <c r="D181" s="49" t="s">
        <v>61</v>
      </c>
      <c r="E181" s="198" t="s">
        <v>38</v>
      </c>
      <c r="F181" s="53">
        <v>0.161</v>
      </c>
      <c r="G181" s="48">
        <v>19.53</v>
      </c>
      <c r="H181" s="50">
        <f t="shared" si="26"/>
        <v>3.14</v>
      </c>
    </row>
    <row r="182" spans="1:8" x14ac:dyDescent="0.3">
      <c r="A182" s="326" t="s">
        <v>555</v>
      </c>
      <c r="B182" s="327"/>
      <c r="C182" s="327"/>
      <c r="D182" s="327"/>
      <c r="E182" s="327"/>
      <c r="F182" s="327"/>
      <c r="G182" s="327"/>
      <c r="H182" s="328"/>
    </row>
    <row r="183" spans="1:8" x14ac:dyDescent="0.3">
      <c r="A183" s="78"/>
      <c r="B183" s="79"/>
      <c r="C183" s="79"/>
      <c r="D183" s="79"/>
      <c r="E183" s="79"/>
      <c r="F183" s="79"/>
      <c r="G183" s="79"/>
      <c r="H183" s="80"/>
    </row>
    <row r="184" spans="1:8" x14ac:dyDescent="0.3">
      <c r="A184" s="215" t="s">
        <v>160</v>
      </c>
      <c r="B184" s="204"/>
      <c r="C184" s="204"/>
      <c r="D184" s="135" t="s">
        <v>230</v>
      </c>
      <c r="E184" s="204" t="s">
        <v>13</v>
      </c>
      <c r="F184" s="329" t="s">
        <v>32</v>
      </c>
      <c r="G184" s="330"/>
      <c r="H184" s="207">
        <f>SUM(H185:H187)</f>
        <v>11.33</v>
      </c>
    </row>
    <row r="185" spans="1:8" x14ac:dyDescent="0.3">
      <c r="A185" s="95" t="s">
        <v>36</v>
      </c>
      <c r="B185" s="198" t="s">
        <v>69</v>
      </c>
      <c r="C185" s="150" t="str">
        <f>'MAPA DE COTAÇÃO'!A106</f>
        <v>C023</v>
      </c>
      <c r="D185" s="81" t="str">
        <f>'MAPA DE COTAÇÃO'!B106</f>
        <v>GANCHO CURTO PARA PERFILADO 44X32MM</v>
      </c>
      <c r="E185" s="198" t="s">
        <v>13</v>
      </c>
      <c r="F185" s="53">
        <v>1</v>
      </c>
      <c r="G185" s="48">
        <f>'MAPA DE COTAÇÃO'!G106</f>
        <v>4.4000000000000004</v>
      </c>
      <c r="H185" s="50">
        <f t="shared" ref="H185:H187" si="27">TRUNC(G185*F185,2)</f>
        <v>4.4000000000000004</v>
      </c>
    </row>
    <row r="186" spans="1:8" x14ac:dyDescent="0.3">
      <c r="A186" s="95" t="s">
        <v>37</v>
      </c>
      <c r="B186" s="198" t="s">
        <v>23</v>
      </c>
      <c r="C186" s="149" t="s">
        <v>154</v>
      </c>
      <c r="D186" s="81" t="s">
        <v>61</v>
      </c>
      <c r="E186" s="93" t="s">
        <v>38</v>
      </c>
      <c r="F186" s="53">
        <v>0.2</v>
      </c>
      <c r="G186" s="48">
        <v>19.53</v>
      </c>
      <c r="H186" s="50">
        <f t="shared" si="27"/>
        <v>3.9</v>
      </c>
    </row>
    <row r="187" spans="1:8" x14ac:dyDescent="0.3">
      <c r="A187" s="95" t="s">
        <v>37</v>
      </c>
      <c r="B187" s="198" t="s">
        <v>23</v>
      </c>
      <c r="C187" s="149" t="s">
        <v>200</v>
      </c>
      <c r="D187" s="81" t="s">
        <v>84</v>
      </c>
      <c r="E187" s="93" t="s">
        <v>38</v>
      </c>
      <c r="F187" s="53">
        <v>0.2</v>
      </c>
      <c r="G187" s="48">
        <v>15.16</v>
      </c>
      <c r="H187" s="50">
        <f t="shared" si="27"/>
        <v>3.03</v>
      </c>
    </row>
    <row r="188" spans="1:8" x14ac:dyDescent="0.3">
      <c r="A188" s="326" t="s">
        <v>556</v>
      </c>
      <c r="B188" s="327"/>
      <c r="C188" s="327"/>
      <c r="D188" s="327"/>
      <c r="E188" s="327"/>
      <c r="F188" s="327"/>
      <c r="G188" s="327"/>
      <c r="H188" s="328"/>
    </row>
    <row r="189" spans="1:8" x14ac:dyDescent="0.3">
      <c r="A189" s="78"/>
      <c r="B189" s="79"/>
      <c r="C189" s="79"/>
      <c r="D189" s="79"/>
      <c r="E189" s="79"/>
      <c r="F189" s="79"/>
      <c r="G189" s="79"/>
      <c r="H189" s="80"/>
    </row>
    <row r="190" spans="1:8" x14ac:dyDescent="0.3">
      <c r="A190" s="215" t="s">
        <v>156</v>
      </c>
      <c r="B190" s="204"/>
      <c r="C190" s="204"/>
      <c r="D190" s="135" t="s">
        <v>232</v>
      </c>
      <c r="E190" s="204" t="s">
        <v>13</v>
      </c>
      <c r="F190" s="329" t="s">
        <v>32</v>
      </c>
      <c r="G190" s="330"/>
      <c r="H190" s="207">
        <f>SUM(H191:H193)</f>
        <v>7.13</v>
      </c>
    </row>
    <row r="191" spans="1:8" x14ac:dyDescent="0.3">
      <c r="A191" s="95" t="s">
        <v>36</v>
      </c>
      <c r="B191" s="198" t="s">
        <v>69</v>
      </c>
      <c r="C191" s="150" t="str">
        <f>'MAPA DE COTAÇÃO'!A110</f>
        <v>C024</v>
      </c>
      <c r="D191" s="81" t="str">
        <f>'MAPA DE COTAÇÃO'!B110</f>
        <v>TALA PLANA PERFURADA 38MM</v>
      </c>
      <c r="E191" s="150" t="str">
        <f>'MAPA DE COTAÇÃO'!C110</f>
        <v>UN</v>
      </c>
      <c r="F191" s="53">
        <v>1</v>
      </c>
      <c r="G191" s="48">
        <f>'MAPA DE COTAÇÃO'!G110</f>
        <v>3.67</v>
      </c>
      <c r="H191" s="50">
        <f t="shared" ref="H191:H193" si="28">TRUNC(G191*F191,2)</f>
        <v>3.67</v>
      </c>
    </row>
    <row r="192" spans="1:8" x14ac:dyDescent="0.3">
      <c r="A192" s="95" t="s">
        <v>37</v>
      </c>
      <c r="B192" s="198" t="s">
        <v>23</v>
      </c>
      <c r="C192" s="149" t="s">
        <v>154</v>
      </c>
      <c r="D192" s="81" t="s">
        <v>61</v>
      </c>
      <c r="E192" s="93" t="s">
        <v>38</v>
      </c>
      <c r="F192" s="53">
        <v>0.1</v>
      </c>
      <c r="G192" s="48">
        <v>19.53</v>
      </c>
      <c r="H192" s="50">
        <f t="shared" si="28"/>
        <v>1.95</v>
      </c>
    </row>
    <row r="193" spans="1:8" x14ac:dyDescent="0.3">
      <c r="A193" s="95" t="s">
        <v>37</v>
      </c>
      <c r="B193" s="198" t="s">
        <v>23</v>
      </c>
      <c r="C193" s="149" t="s">
        <v>200</v>
      </c>
      <c r="D193" s="81" t="s">
        <v>84</v>
      </c>
      <c r="E193" s="93" t="s">
        <v>38</v>
      </c>
      <c r="F193" s="53">
        <v>0.1</v>
      </c>
      <c r="G193" s="48">
        <v>15.16</v>
      </c>
      <c r="H193" s="50">
        <f t="shared" si="28"/>
        <v>1.51</v>
      </c>
    </row>
    <row r="194" spans="1:8" x14ac:dyDescent="0.3">
      <c r="A194" s="326" t="s">
        <v>557</v>
      </c>
      <c r="B194" s="327"/>
      <c r="C194" s="327"/>
      <c r="D194" s="327"/>
      <c r="E194" s="327"/>
      <c r="F194" s="327"/>
      <c r="G194" s="327"/>
      <c r="H194" s="328"/>
    </row>
    <row r="195" spans="1:8" x14ac:dyDescent="0.3">
      <c r="A195" s="78"/>
      <c r="B195" s="79"/>
      <c r="C195" s="79"/>
      <c r="D195" s="79"/>
      <c r="E195" s="79"/>
      <c r="F195" s="79"/>
      <c r="G195" s="79"/>
      <c r="H195" s="80"/>
    </row>
    <row r="196" spans="1:8" ht="27.6" x14ac:dyDescent="0.3">
      <c r="A196" s="215" t="s">
        <v>162</v>
      </c>
      <c r="B196" s="204"/>
      <c r="C196" s="204"/>
      <c r="D196" s="135" t="s">
        <v>145</v>
      </c>
      <c r="E196" s="204" t="s">
        <v>120</v>
      </c>
      <c r="F196" s="317" t="s">
        <v>32</v>
      </c>
      <c r="G196" s="317"/>
      <c r="H196" s="207">
        <f>SUM(H197:H199)</f>
        <v>11.16</v>
      </c>
    </row>
    <row r="197" spans="1:8" x14ac:dyDescent="0.3">
      <c r="A197" s="95" t="s">
        <v>36</v>
      </c>
      <c r="B197" s="198" t="s">
        <v>69</v>
      </c>
      <c r="C197" s="150" t="str">
        <f>'MAPA DE COTAÇÃO'!A114</f>
        <v>C025</v>
      </c>
      <c r="D197" s="49" t="str">
        <f>'MAPA DE COTAÇÃO'!$B$114</f>
        <v>CURVA 90° HORIZONTAL PERFILADO 38X38MM</v>
      </c>
      <c r="E197" s="198" t="s">
        <v>120</v>
      </c>
      <c r="F197" s="53">
        <v>1</v>
      </c>
      <c r="G197" s="48">
        <f>'MAPA DE COTAÇÃO'!$G$114</f>
        <v>7.7</v>
      </c>
      <c r="H197" s="50">
        <f t="shared" ref="H197:H199" si="29">TRUNC(G197*F197,2)</f>
        <v>7.7</v>
      </c>
    </row>
    <row r="198" spans="1:8" x14ac:dyDescent="0.3">
      <c r="A198" s="95" t="s">
        <v>77</v>
      </c>
      <c r="B198" s="198" t="s">
        <v>23</v>
      </c>
      <c r="C198" s="94">
        <v>88316</v>
      </c>
      <c r="D198" s="49" t="s">
        <v>84</v>
      </c>
      <c r="E198" s="198" t="s">
        <v>38</v>
      </c>
      <c r="F198" s="53">
        <v>0.1</v>
      </c>
      <c r="G198" s="48">
        <v>15.16</v>
      </c>
      <c r="H198" s="50">
        <f t="shared" si="29"/>
        <v>1.51</v>
      </c>
    </row>
    <row r="199" spans="1:8" x14ac:dyDescent="0.3">
      <c r="A199" s="95" t="s">
        <v>77</v>
      </c>
      <c r="B199" s="198" t="s">
        <v>23</v>
      </c>
      <c r="C199" s="94">
        <v>88264</v>
      </c>
      <c r="D199" s="49" t="s">
        <v>61</v>
      </c>
      <c r="E199" s="198" t="s">
        <v>38</v>
      </c>
      <c r="F199" s="53">
        <v>0.1</v>
      </c>
      <c r="G199" s="48">
        <v>19.53</v>
      </c>
      <c r="H199" s="50">
        <f t="shared" si="29"/>
        <v>1.95</v>
      </c>
    </row>
    <row r="200" spans="1:8" x14ac:dyDescent="0.3">
      <c r="A200" s="326" t="s">
        <v>558</v>
      </c>
      <c r="B200" s="327"/>
      <c r="C200" s="327"/>
      <c r="D200" s="327"/>
      <c r="E200" s="327"/>
      <c r="F200" s="327"/>
      <c r="G200" s="327"/>
      <c r="H200" s="328"/>
    </row>
    <row r="201" spans="1:8" x14ac:dyDescent="0.3">
      <c r="A201" s="78"/>
      <c r="B201" s="79"/>
      <c r="C201" s="79"/>
      <c r="D201" s="79"/>
      <c r="E201" s="79"/>
      <c r="F201" s="79"/>
      <c r="G201" s="79"/>
      <c r="H201" s="80"/>
    </row>
    <row r="202" spans="1:8" ht="27.6" x14ac:dyDescent="0.3">
      <c r="A202" s="215" t="s">
        <v>163</v>
      </c>
      <c r="B202" s="204"/>
      <c r="C202" s="204"/>
      <c r="D202" s="135" t="s">
        <v>491</v>
      </c>
      <c r="E202" s="204" t="s">
        <v>120</v>
      </c>
      <c r="F202" s="317" t="s">
        <v>32</v>
      </c>
      <c r="G202" s="317"/>
      <c r="H202" s="207">
        <f>SUM(H203:H205)</f>
        <v>9.9599999999999991</v>
      </c>
    </row>
    <row r="203" spans="1:8" x14ac:dyDescent="0.3">
      <c r="A203" s="95" t="s">
        <v>36</v>
      </c>
      <c r="B203" s="198" t="s">
        <v>69</v>
      </c>
      <c r="C203" s="150" t="str">
        <f>'MAPA DE COTAÇÃO'!A118</f>
        <v>C026</v>
      </c>
      <c r="D203" s="81" t="str">
        <f>'MAPA DE COTAÇÃO'!B118</f>
        <v>CURVA 90° VERTICAL INTERNA PERFILADO 38X38MM</v>
      </c>
      <c r="E203" s="198" t="str">
        <f>'MAPA DE COTAÇÃO'!C118</f>
        <v>UN</v>
      </c>
      <c r="F203" s="53">
        <v>1</v>
      </c>
      <c r="G203" s="48">
        <f>'MAPA DE COTAÇÃO'!G118</f>
        <v>6.5</v>
      </c>
      <c r="H203" s="50">
        <f t="shared" ref="H203:H205" si="30">TRUNC(G203*F203,2)</f>
        <v>6.5</v>
      </c>
    </row>
    <row r="204" spans="1:8" x14ac:dyDescent="0.3">
      <c r="A204" s="95" t="s">
        <v>77</v>
      </c>
      <c r="B204" s="198" t="s">
        <v>23</v>
      </c>
      <c r="C204" s="94">
        <v>88316</v>
      </c>
      <c r="D204" s="49" t="s">
        <v>84</v>
      </c>
      <c r="E204" s="198" t="s">
        <v>38</v>
      </c>
      <c r="F204" s="53">
        <v>0.1</v>
      </c>
      <c r="G204" s="48">
        <v>15.16</v>
      </c>
      <c r="H204" s="50">
        <f t="shared" si="30"/>
        <v>1.51</v>
      </c>
    </row>
    <row r="205" spans="1:8" x14ac:dyDescent="0.3">
      <c r="A205" s="95" t="s">
        <v>77</v>
      </c>
      <c r="B205" s="198" t="s">
        <v>23</v>
      </c>
      <c r="C205" s="94">
        <v>88264</v>
      </c>
      <c r="D205" s="49" t="s">
        <v>61</v>
      </c>
      <c r="E205" s="198" t="s">
        <v>38</v>
      </c>
      <c r="F205" s="53">
        <v>0.1</v>
      </c>
      <c r="G205" s="48">
        <v>19.53</v>
      </c>
      <c r="H205" s="50">
        <f t="shared" si="30"/>
        <v>1.95</v>
      </c>
    </row>
    <row r="206" spans="1:8" x14ac:dyDescent="0.3">
      <c r="A206" s="326" t="s">
        <v>558</v>
      </c>
      <c r="B206" s="327"/>
      <c r="C206" s="327"/>
      <c r="D206" s="327"/>
      <c r="E206" s="327"/>
      <c r="F206" s="327"/>
      <c r="G206" s="327"/>
      <c r="H206" s="328"/>
    </row>
    <row r="207" spans="1:8" x14ac:dyDescent="0.3">
      <c r="A207" s="78"/>
      <c r="B207" s="79"/>
      <c r="C207" s="79"/>
      <c r="D207" s="79"/>
      <c r="E207" s="79"/>
      <c r="F207" s="79"/>
      <c r="G207" s="79"/>
      <c r="H207" s="80"/>
    </row>
    <row r="208" spans="1:8" ht="27.6" x14ac:dyDescent="0.3">
      <c r="A208" s="215" t="s">
        <v>164</v>
      </c>
      <c r="B208" s="204"/>
      <c r="C208" s="204"/>
      <c r="D208" s="135" t="s">
        <v>492</v>
      </c>
      <c r="E208" s="204" t="s">
        <v>120</v>
      </c>
      <c r="F208" s="317" t="s">
        <v>32</v>
      </c>
      <c r="G208" s="317"/>
      <c r="H208" s="207">
        <f>SUM(H209:H211)</f>
        <v>10.459999999999999</v>
      </c>
    </row>
    <row r="209" spans="1:8" x14ac:dyDescent="0.3">
      <c r="A209" s="95" t="s">
        <v>36</v>
      </c>
      <c r="B209" s="198" t="s">
        <v>69</v>
      </c>
      <c r="C209" s="150" t="str">
        <f>'MAPA DE COTAÇÃO'!A122</f>
        <v>C027</v>
      </c>
      <c r="D209" s="81" t="str">
        <f>'MAPA DE COTAÇÃO'!B122</f>
        <v>CURVA 90° VERTICAL EXTERNA PERFILADO 38X38MM</v>
      </c>
      <c r="E209" s="198" t="str">
        <f>'MAPA DE COTAÇÃO'!C122</f>
        <v>UN</v>
      </c>
      <c r="F209" s="53">
        <v>1</v>
      </c>
      <c r="G209" s="48">
        <f>'MAPA DE COTAÇÃO'!G122</f>
        <v>7</v>
      </c>
      <c r="H209" s="50">
        <f t="shared" ref="H209:H211" si="31">TRUNC(G209*F209,2)</f>
        <v>7</v>
      </c>
    </row>
    <row r="210" spans="1:8" x14ac:dyDescent="0.3">
      <c r="A210" s="95" t="s">
        <v>77</v>
      </c>
      <c r="B210" s="198" t="s">
        <v>23</v>
      </c>
      <c r="C210" s="94">
        <v>88316</v>
      </c>
      <c r="D210" s="49" t="s">
        <v>84</v>
      </c>
      <c r="E210" s="198" t="s">
        <v>38</v>
      </c>
      <c r="F210" s="53">
        <v>0.1</v>
      </c>
      <c r="G210" s="48">
        <v>15.16</v>
      </c>
      <c r="H210" s="50">
        <f t="shared" si="31"/>
        <v>1.51</v>
      </c>
    </row>
    <row r="211" spans="1:8" x14ac:dyDescent="0.3">
      <c r="A211" s="95" t="s">
        <v>77</v>
      </c>
      <c r="B211" s="198" t="s">
        <v>23</v>
      </c>
      <c r="C211" s="94">
        <v>88264</v>
      </c>
      <c r="D211" s="49" t="s">
        <v>61</v>
      </c>
      <c r="E211" s="198" t="s">
        <v>38</v>
      </c>
      <c r="F211" s="53">
        <v>0.1</v>
      </c>
      <c r="G211" s="48">
        <v>19.53</v>
      </c>
      <c r="H211" s="50">
        <f t="shared" si="31"/>
        <v>1.95</v>
      </c>
    </row>
    <row r="212" spans="1:8" x14ac:dyDescent="0.3">
      <c r="A212" s="326" t="s">
        <v>558</v>
      </c>
      <c r="B212" s="327"/>
      <c r="C212" s="327"/>
      <c r="D212" s="327"/>
      <c r="E212" s="327"/>
      <c r="F212" s="327"/>
      <c r="G212" s="327"/>
      <c r="H212" s="328"/>
    </row>
    <row r="213" spans="1:8" x14ac:dyDescent="0.3">
      <c r="A213" s="78"/>
      <c r="B213" s="79"/>
      <c r="C213" s="79"/>
      <c r="D213" s="79"/>
      <c r="E213" s="79"/>
      <c r="F213" s="79"/>
      <c r="G213" s="79"/>
      <c r="H213" s="80"/>
    </row>
    <row r="214" spans="1:8" x14ac:dyDescent="0.3">
      <c r="A214" s="215" t="s">
        <v>165</v>
      </c>
      <c r="B214" s="204"/>
      <c r="C214" s="204"/>
      <c r="D214" s="135" t="s">
        <v>234</v>
      </c>
      <c r="E214" s="204" t="s">
        <v>13</v>
      </c>
      <c r="F214" s="329" t="s">
        <v>32</v>
      </c>
      <c r="G214" s="330"/>
      <c r="H214" s="207">
        <f>SUM(H215:H217)</f>
        <v>12.77</v>
      </c>
    </row>
    <row r="215" spans="1:8" x14ac:dyDescent="0.3">
      <c r="A215" s="95" t="s">
        <v>36</v>
      </c>
      <c r="B215" s="198" t="s">
        <v>69</v>
      </c>
      <c r="C215" s="150" t="str">
        <f>'MAPA DE COTAÇÃO'!A126</f>
        <v>C028</v>
      </c>
      <c r="D215" s="81" t="str">
        <f>'MAPA DE COTAÇÃO'!B126</f>
        <v>TERMINAL 38X38MM</v>
      </c>
      <c r="E215" s="93" t="str">
        <f>'MAPA DE COTAÇÃO'!C126</f>
        <v>UN</v>
      </c>
      <c r="F215" s="53">
        <v>1</v>
      </c>
      <c r="G215" s="48">
        <f>'MAPA DE COTAÇÃO'!G126</f>
        <v>10</v>
      </c>
      <c r="H215" s="50">
        <f t="shared" ref="H215:H217" si="32">TRUNC(G215*F215,2)</f>
        <v>10</v>
      </c>
    </row>
    <row r="216" spans="1:8" x14ac:dyDescent="0.3">
      <c r="A216" s="95" t="s">
        <v>37</v>
      </c>
      <c r="B216" s="198" t="s">
        <v>23</v>
      </c>
      <c r="C216" s="149" t="s">
        <v>154</v>
      </c>
      <c r="D216" s="81" t="s">
        <v>61</v>
      </c>
      <c r="E216" s="93" t="s">
        <v>38</v>
      </c>
      <c r="F216" s="53">
        <v>0.08</v>
      </c>
      <c r="G216" s="48">
        <v>19.53</v>
      </c>
      <c r="H216" s="50">
        <f t="shared" si="32"/>
        <v>1.56</v>
      </c>
    </row>
    <row r="217" spans="1:8" x14ac:dyDescent="0.3">
      <c r="A217" s="95" t="s">
        <v>37</v>
      </c>
      <c r="B217" s="198" t="s">
        <v>23</v>
      </c>
      <c r="C217" s="149" t="s">
        <v>200</v>
      </c>
      <c r="D217" s="81" t="s">
        <v>84</v>
      </c>
      <c r="E217" s="93" t="s">
        <v>38</v>
      </c>
      <c r="F217" s="53">
        <v>0.08</v>
      </c>
      <c r="G217" s="48">
        <v>15.16</v>
      </c>
      <c r="H217" s="50">
        <f t="shared" si="32"/>
        <v>1.21</v>
      </c>
    </row>
    <row r="218" spans="1:8" x14ac:dyDescent="0.3">
      <c r="A218" s="326" t="s">
        <v>559</v>
      </c>
      <c r="B218" s="327"/>
      <c r="C218" s="327"/>
      <c r="D218" s="327"/>
      <c r="E218" s="327"/>
      <c r="F218" s="327"/>
      <c r="G218" s="327"/>
      <c r="H218" s="328"/>
    </row>
    <row r="219" spans="1:8" x14ac:dyDescent="0.3">
      <c r="A219" s="78"/>
      <c r="B219" s="79"/>
      <c r="C219" s="79"/>
      <c r="D219" s="79"/>
      <c r="E219" s="79"/>
      <c r="F219" s="79"/>
      <c r="G219" s="79"/>
      <c r="H219" s="80"/>
    </row>
    <row r="220" spans="1:8" x14ac:dyDescent="0.3">
      <c r="A220" s="215" t="s">
        <v>166</v>
      </c>
      <c r="B220" s="204"/>
      <c r="C220" s="204"/>
      <c r="D220" s="135" t="s">
        <v>147</v>
      </c>
      <c r="E220" s="204" t="s">
        <v>13</v>
      </c>
      <c r="F220" s="329" t="s">
        <v>32</v>
      </c>
      <c r="G220" s="330"/>
      <c r="H220" s="207">
        <f>SUM(H221:H223)</f>
        <v>11.51</v>
      </c>
    </row>
    <row r="221" spans="1:8" x14ac:dyDescent="0.3">
      <c r="A221" s="95" t="s">
        <v>36</v>
      </c>
      <c r="B221" s="198" t="s">
        <v>69</v>
      </c>
      <c r="C221" s="150" t="str">
        <f>'MAPA DE COTAÇÃO'!A130</f>
        <v>C029</v>
      </c>
      <c r="D221" s="81" t="str">
        <f>'MAPA DE COTAÇÃO'!B130</f>
        <v>SAÍDA PERFILADO PARA ELETRODUTO 3/4"</v>
      </c>
      <c r="E221" s="150" t="str">
        <f>'MAPA DE COTAÇÃO'!C130</f>
        <v>UN</v>
      </c>
      <c r="F221" s="53">
        <v>1</v>
      </c>
      <c r="G221" s="48">
        <f>'MAPA DE COTAÇÃO'!G130</f>
        <v>7.36</v>
      </c>
      <c r="H221" s="50">
        <f t="shared" ref="H221:H223" si="33">TRUNC(G221*F221,2)</f>
        <v>7.36</v>
      </c>
    </row>
    <row r="222" spans="1:8" x14ac:dyDescent="0.3">
      <c r="A222" s="95" t="s">
        <v>37</v>
      </c>
      <c r="B222" s="198" t="s">
        <v>23</v>
      </c>
      <c r="C222" s="149" t="s">
        <v>154</v>
      </c>
      <c r="D222" s="81" t="s">
        <v>61</v>
      </c>
      <c r="E222" s="93" t="s">
        <v>38</v>
      </c>
      <c r="F222" s="53">
        <v>0.12</v>
      </c>
      <c r="G222" s="48">
        <v>19.53</v>
      </c>
      <c r="H222" s="50">
        <f t="shared" si="33"/>
        <v>2.34</v>
      </c>
    </row>
    <row r="223" spans="1:8" x14ac:dyDescent="0.3">
      <c r="A223" s="95" t="s">
        <v>37</v>
      </c>
      <c r="B223" s="198" t="s">
        <v>23</v>
      </c>
      <c r="C223" s="149" t="s">
        <v>200</v>
      </c>
      <c r="D223" s="81" t="s">
        <v>84</v>
      </c>
      <c r="E223" s="93" t="s">
        <v>38</v>
      </c>
      <c r="F223" s="53">
        <v>0.12</v>
      </c>
      <c r="G223" s="48">
        <v>15.16</v>
      </c>
      <c r="H223" s="50">
        <f t="shared" si="33"/>
        <v>1.81</v>
      </c>
    </row>
    <row r="224" spans="1:8" x14ac:dyDescent="0.3">
      <c r="A224" s="326" t="s">
        <v>560</v>
      </c>
      <c r="B224" s="327"/>
      <c r="C224" s="327"/>
      <c r="D224" s="327"/>
      <c r="E224" s="327"/>
      <c r="F224" s="327"/>
      <c r="G224" s="327"/>
      <c r="H224" s="328"/>
    </row>
    <row r="225" spans="1:8" x14ac:dyDescent="0.3">
      <c r="A225" s="78"/>
      <c r="B225" s="79"/>
      <c r="C225" s="79"/>
      <c r="D225" s="79"/>
      <c r="E225" s="79"/>
      <c r="F225" s="79"/>
      <c r="G225" s="79"/>
      <c r="H225" s="80"/>
    </row>
    <row r="226" spans="1:8" ht="27.6" x14ac:dyDescent="0.3">
      <c r="A226" s="215" t="s">
        <v>167</v>
      </c>
      <c r="B226" s="204"/>
      <c r="C226" s="204"/>
      <c r="D226" s="2" t="s">
        <v>244</v>
      </c>
      <c r="E226" s="204" t="s">
        <v>33</v>
      </c>
      <c r="F226" s="317" t="s">
        <v>32</v>
      </c>
      <c r="G226" s="317"/>
      <c r="H226" s="207">
        <f>SUM(H227:H229)</f>
        <v>56.830000000000005</v>
      </c>
    </row>
    <row r="227" spans="1:8" x14ac:dyDescent="0.3">
      <c r="A227" s="95" t="s">
        <v>36</v>
      </c>
      <c r="B227" s="198" t="s">
        <v>69</v>
      </c>
      <c r="C227" s="150" t="str">
        <f>'MAPA DE COTAÇÃO'!A134</f>
        <v>C030</v>
      </c>
      <c r="D227" s="81" t="str">
        <f>'MAPA DE COTAÇÃO'!B134</f>
        <v>ELETROCALHA METÁLICA PERFURADA TIPO U 100X50MM</v>
      </c>
      <c r="E227" s="198" t="s">
        <v>33</v>
      </c>
      <c r="F227" s="53">
        <v>1</v>
      </c>
      <c r="G227" s="48">
        <f>'MAPA DE COTAÇÃO'!G134</f>
        <v>42.96</v>
      </c>
      <c r="H227" s="50">
        <f t="shared" ref="H227:H229" si="34">TRUNC(G227*F227,2)</f>
        <v>42.96</v>
      </c>
    </row>
    <row r="228" spans="1:8" x14ac:dyDescent="0.3">
      <c r="A228" s="95" t="s">
        <v>77</v>
      </c>
      <c r="B228" s="198" t="s">
        <v>23</v>
      </c>
      <c r="C228" s="94">
        <v>88316</v>
      </c>
      <c r="D228" s="49" t="s">
        <v>84</v>
      </c>
      <c r="E228" s="198" t="s">
        <v>38</v>
      </c>
      <c r="F228" s="53">
        <v>0.4</v>
      </c>
      <c r="G228" s="48">
        <v>15.16</v>
      </c>
      <c r="H228" s="50">
        <f t="shared" si="34"/>
        <v>6.06</v>
      </c>
    </row>
    <row r="229" spans="1:8" x14ac:dyDescent="0.3">
      <c r="A229" s="95" t="s">
        <v>77</v>
      </c>
      <c r="B229" s="198" t="s">
        <v>23</v>
      </c>
      <c r="C229" s="94">
        <v>88264</v>
      </c>
      <c r="D229" s="49" t="s">
        <v>61</v>
      </c>
      <c r="E229" s="198" t="s">
        <v>38</v>
      </c>
      <c r="F229" s="53">
        <v>0.4</v>
      </c>
      <c r="G229" s="48">
        <v>19.53</v>
      </c>
      <c r="H229" s="50">
        <f t="shared" si="34"/>
        <v>7.81</v>
      </c>
    </row>
    <row r="230" spans="1:8" x14ac:dyDescent="0.3">
      <c r="A230" s="326" t="s">
        <v>561</v>
      </c>
      <c r="B230" s="327"/>
      <c r="C230" s="327"/>
      <c r="D230" s="327"/>
      <c r="E230" s="327"/>
      <c r="F230" s="327"/>
      <c r="G230" s="327"/>
      <c r="H230" s="328"/>
    </row>
    <row r="231" spans="1:8" x14ac:dyDescent="0.3">
      <c r="A231" s="78"/>
      <c r="B231" s="79"/>
      <c r="C231" s="79"/>
      <c r="D231" s="79"/>
      <c r="E231" s="79"/>
      <c r="F231" s="79"/>
      <c r="G231" s="79"/>
      <c r="H231" s="80"/>
    </row>
    <row r="232" spans="1:8" ht="27.6" x14ac:dyDescent="0.3">
      <c r="A232" s="215" t="s">
        <v>168</v>
      </c>
      <c r="B232" s="204"/>
      <c r="C232" s="204"/>
      <c r="D232" s="2" t="s">
        <v>245</v>
      </c>
      <c r="E232" s="204" t="s">
        <v>33</v>
      </c>
      <c r="F232" s="317" t="s">
        <v>32</v>
      </c>
      <c r="G232" s="317"/>
      <c r="H232" s="207">
        <f>SUM(H233:H235)</f>
        <v>68.87</v>
      </c>
    </row>
    <row r="233" spans="1:8" x14ac:dyDescent="0.3">
      <c r="A233" s="95" t="s">
        <v>36</v>
      </c>
      <c r="B233" s="198" t="s">
        <v>69</v>
      </c>
      <c r="C233" s="150" t="str">
        <f>'MAPA DE COTAÇÃO'!A138</f>
        <v>C031</v>
      </c>
      <c r="D233" s="81" t="str">
        <f>'MAPA DE COTAÇÃO'!B138</f>
        <v>ELETROCALHA METÁLICA PERFURADA TIPO U 200X50MM</v>
      </c>
      <c r="E233" s="198" t="s">
        <v>33</v>
      </c>
      <c r="F233" s="53">
        <v>1</v>
      </c>
      <c r="G233" s="48">
        <f>'MAPA DE COTAÇÃO'!G138</f>
        <v>55</v>
      </c>
      <c r="H233" s="50">
        <f t="shared" ref="H233:H235" si="35">TRUNC(G233*F233,2)</f>
        <v>55</v>
      </c>
    </row>
    <row r="234" spans="1:8" x14ac:dyDescent="0.3">
      <c r="A234" s="95" t="s">
        <v>77</v>
      </c>
      <c r="B234" s="198" t="s">
        <v>23</v>
      </c>
      <c r="C234" s="94">
        <v>88316</v>
      </c>
      <c r="D234" s="49" t="s">
        <v>84</v>
      </c>
      <c r="E234" s="198" t="s">
        <v>38</v>
      </c>
      <c r="F234" s="53">
        <v>0.4</v>
      </c>
      <c r="G234" s="48">
        <v>15.16</v>
      </c>
      <c r="H234" s="50">
        <f t="shared" si="35"/>
        <v>6.06</v>
      </c>
    </row>
    <row r="235" spans="1:8" x14ac:dyDescent="0.3">
      <c r="A235" s="95" t="s">
        <v>77</v>
      </c>
      <c r="B235" s="198" t="s">
        <v>23</v>
      </c>
      <c r="C235" s="94">
        <v>88264</v>
      </c>
      <c r="D235" s="49" t="s">
        <v>61</v>
      </c>
      <c r="E235" s="198" t="s">
        <v>38</v>
      </c>
      <c r="F235" s="53">
        <v>0.4</v>
      </c>
      <c r="G235" s="48">
        <v>19.53</v>
      </c>
      <c r="H235" s="50">
        <f t="shared" si="35"/>
        <v>7.81</v>
      </c>
    </row>
    <row r="236" spans="1:8" x14ac:dyDescent="0.3">
      <c r="A236" s="326" t="s">
        <v>561</v>
      </c>
      <c r="B236" s="327"/>
      <c r="C236" s="327"/>
      <c r="D236" s="327"/>
      <c r="E236" s="327"/>
      <c r="F236" s="327"/>
      <c r="G236" s="327"/>
      <c r="H236" s="328"/>
    </row>
    <row r="237" spans="1:8" x14ac:dyDescent="0.3">
      <c r="A237" s="78"/>
      <c r="B237" s="79"/>
      <c r="C237" s="79"/>
      <c r="D237" s="79"/>
      <c r="E237" s="79"/>
      <c r="F237" s="79"/>
      <c r="G237" s="79"/>
      <c r="H237" s="80"/>
    </row>
    <row r="238" spans="1:8" ht="27.6" x14ac:dyDescent="0.3">
      <c r="A238" s="215" t="s">
        <v>169</v>
      </c>
      <c r="B238" s="204"/>
      <c r="C238" s="204"/>
      <c r="D238" s="2" t="s">
        <v>246</v>
      </c>
      <c r="E238" s="204" t="s">
        <v>33</v>
      </c>
      <c r="F238" s="317" t="s">
        <v>32</v>
      </c>
      <c r="G238" s="317"/>
      <c r="H238" s="207">
        <f>SUM(H239:H241)</f>
        <v>90.600000000000009</v>
      </c>
    </row>
    <row r="239" spans="1:8" x14ac:dyDescent="0.3">
      <c r="A239" s="95" t="s">
        <v>36</v>
      </c>
      <c r="B239" s="198" t="s">
        <v>69</v>
      </c>
      <c r="C239" s="150" t="str">
        <f>'MAPA DE COTAÇÃO'!A142</f>
        <v>C032</v>
      </c>
      <c r="D239" s="81" t="str">
        <f>'MAPA DE COTAÇÃO'!B142</f>
        <v>ELETROCALHA METÁLICA PERFURADA TIPO U 200X100MM</v>
      </c>
      <c r="E239" s="198" t="s">
        <v>33</v>
      </c>
      <c r="F239" s="53">
        <v>1</v>
      </c>
      <c r="G239" s="48">
        <f>'MAPA DE COTAÇÃO'!G142</f>
        <v>76.73</v>
      </c>
      <c r="H239" s="50">
        <f t="shared" ref="H239:H241" si="36">TRUNC(G239*F239,2)</f>
        <v>76.73</v>
      </c>
    </row>
    <row r="240" spans="1:8" x14ac:dyDescent="0.3">
      <c r="A240" s="95" t="s">
        <v>77</v>
      </c>
      <c r="B240" s="198" t="s">
        <v>23</v>
      </c>
      <c r="C240" s="94">
        <v>88316</v>
      </c>
      <c r="D240" s="49" t="s">
        <v>84</v>
      </c>
      <c r="E240" s="198" t="s">
        <v>38</v>
      </c>
      <c r="F240" s="53">
        <v>0.4</v>
      </c>
      <c r="G240" s="48">
        <v>15.16</v>
      </c>
      <c r="H240" s="50">
        <f t="shared" si="36"/>
        <v>6.06</v>
      </c>
    </row>
    <row r="241" spans="1:8" x14ac:dyDescent="0.3">
      <c r="A241" s="95" t="s">
        <v>77</v>
      </c>
      <c r="B241" s="198" t="s">
        <v>23</v>
      </c>
      <c r="C241" s="94">
        <v>88264</v>
      </c>
      <c r="D241" s="49" t="s">
        <v>61</v>
      </c>
      <c r="E241" s="198" t="s">
        <v>38</v>
      </c>
      <c r="F241" s="53">
        <v>0.4</v>
      </c>
      <c r="G241" s="48">
        <v>19.53</v>
      </c>
      <c r="H241" s="50">
        <f t="shared" si="36"/>
        <v>7.81</v>
      </c>
    </row>
    <row r="242" spans="1:8" x14ac:dyDescent="0.3">
      <c r="A242" s="326" t="s">
        <v>561</v>
      </c>
      <c r="B242" s="327"/>
      <c r="C242" s="327"/>
      <c r="D242" s="327"/>
      <c r="E242" s="327"/>
      <c r="F242" s="327"/>
      <c r="G242" s="327"/>
      <c r="H242" s="328"/>
    </row>
    <row r="243" spans="1:8" x14ac:dyDescent="0.3">
      <c r="A243" s="78"/>
      <c r="B243" s="79"/>
      <c r="C243" s="79"/>
      <c r="D243" s="79"/>
      <c r="E243" s="79"/>
      <c r="F243" s="79"/>
      <c r="G243" s="79"/>
      <c r="H243" s="80"/>
    </row>
    <row r="244" spans="1:8" ht="27.6" x14ac:dyDescent="0.3">
      <c r="A244" s="215" t="s">
        <v>116</v>
      </c>
      <c r="B244" s="204"/>
      <c r="C244" s="204"/>
      <c r="D244" s="2" t="s">
        <v>237</v>
      </c>
      <c r="E244" s="204" t="s">
        <v>33</v>
      </c>
      <c r="F244" s="317" t="s">
        <v>32</v>
      </c>
      <c r="G244" s="317"/>
      <c r="H244" s="207">
        <f>SUM(H245:H251)</f>
        <v>20.930000000000003</v>
      </c>
    </row>
    <row r="245" spans="1:8" ht="27.6" x14ac:dyDescent="0.3">
      <c r="A245" s="95" t="s">
        <v>36</v>
      </c>
      <c r="B245" s="198" t="s">
        <v>23</v>
      </c>
      <c r="C245" s="136">
        <v>11267</v>
      </c>
      <c r="D245" s="81" t="s">
        <v>179</v>
      </c>
      <c r="E245" s="198" t="s">
        <v>13</v>
      </c>
      <c r="F245" s="53">
        <v>4</v>
      </c>
      <c r="G245" s="48">
        <v>0.8</v>
      </c>
      <c r="H245" s="50">
        <f t="shared" ref="H245:H251" si="37">TRUNC(G245*F245,2)</f>
        <v>3.2</v>
      </c>
    </row>
    <row r="246" spans="1:8" x14ac:dyDescent="0.3">
      <c r="A246" s="95" t="s">
        <v>36</v>
      </c>
      <c r="B246" s="198" t="s">
        <v>23</v>
      </c>
      <c r="C246" s="136">
        <v>11976</v>
      </c>
      <c r="D246" s="81" t="s">
        <v>141</v>
      </c>
      <c r="E246" s="198" t="s">
        <v>13</v>
      </c>
      <c r="F246" s="53">
        <v>1.333</v>
      </c>
      <c r="G246" s="48">
        <v>1.1399999999999999</v>
      </c>
      <c r="H246" s="50">
        <f t="shared" si="37"/>
        <v>1.51</v>
      </c>
    </row>
    <row r="247" spans="1:8" x14ac:dyDescent="0.3">
      <c r="A247" s="95" t="s">
        <v>36</v>
      </c>
      <c r="B247" s="198" t="s">
        <v>69</v>
      </c>
      <c r="C247" s="150" t="str">
        <f>'MAPA DE COTAÇÃO'!A146</f>
        <v>C033</v>
      </c>
      <c r="D247" s="81" t="str">
        <f>'MAPA DE COTAÇÃO'!B146</f>
        <v>SUPORTE VERTICAL 100X50MM</v>
      </c>
      <c r="E247" s="150" t="str">
        <f>'MAPA DE COTAÇÃO'!$C$102</f>
        <v>UN</v>
      </c>
      <c r="F247" s="53">
        <v>1</v>
      </c>
      <c r="G247" s="48">
        <f>'MAPA DE COTAÇÃO'!G146</f>
        <v>10.5</v>
      </c>
      <c r="H247" s="50">
        <f t="shared" si="37"/>
        <v>10.5</v>
      </c>
    </row>
    <row r="248" spans="1:8" x14ac:dyDescent="0.3">
      <c r="A248" s="95" t="s">
        <v>36</v>
      </c>
      <c r="B248" s="198" t="s">
        <v>23</v>
      </c>
      <c r="C248" s="136">
        <v>39997</v>
      </c>
      <c r="D248" s="81" t="s">
        <v>144</v>
      </c>
      <c r="E248" s="198" t="s">
        <v>13</v>
      </c>
      <c r="F248" s="53">
        <v>0.46700000000000003</v>
      </c>
      <c r="G248" s="48">
        <v>0.28000000000000003</v>
      </c>
      <c r="H248" s="50">
        <f t="shared" si="37"/>
        <v>0.13</v>
      </c>
    </row>
    <row r="249" spans="1:8" x14ac:dyDescent="0.3">
      <c r="A249" s="95" t="s">
        <v>36</v>
      </c>
      <c r="B249" s="198" t="s">
        <v>23</v>
      </c>
      <c r="C249" s="146">
        <v>39996</v>
      </c>
      <c r="D249" s="81" t="s">
        <v>143</v>
      </c>
      <c r="E249" s="198" t="s">
        <v>33</v>
      </c>
      <c r="F249" s="53">
        <v>0.46700000000000003</v>
      </c>
      <c r="G249" s="48">
        <v>4.53</v>
      </c>
      <c r="H249" s="50">
        <f t="shared" si="37"/>
        <v>2.11</v>
      </c>
    </row>
    <row r="250" spans="1:8" x14ac:dyDescent="0.3">
      <c r="A250" s="95" t="s">
        <v>77</v>
      </c>
      <c r="B250" s="198" t="s">
        <v>23</v>
      </c>
      <c r="C250" s="94">
        <v>88316</v>
      </c>
      <c r="D250" s="49" t="s">
        <v>84</v>
      </c>
      <c r="E250" s="198" t="s">
        <v>38</v>
      </c>
      <c r="F250" s="53">
        <v>2.3E-2</v>
      </c>
      <c r="G250" s="48">
        <v>15.16</v>
      </c>
      <c r="H250" s="50">
        <f t="shared" si="37"/>
        <v>0.34</v>
      </c>
    </row>
    <row r="251" spans="1:8" x14ac:dyDescent="0.3">
      <c r="A251" s="95" t="s">
        <v>77</v>
      </c>
      <c r="B251" s="198" t="s">
        <v>23</v>
      </c>
      <c r="C251" s="94">
        <v>88264</v>
      </c>
      <c r="D251" s="49" t="s">
        <v>61</v>
      </c>
      <c r="E251" s="198" t="s">
        <v>38</v>
      </c>
      <c r="F251" s="53">
        <v>0.161</v>
      </c>
      <c r="G251" s="48">
        <v>19.53</v>
      </c>
      <c r="H251" s="50">
        <f t="shared" si="37"/>
        <v>3.14</v>
      </c>
    </row>
    <row r="252" spans="1:8" x14ac:dyDescent="0.3">
      <c r="A252" s="326" t="s">
        <v>555</v>
      </c>
      <c r="B252" s="327"/>
      <c r="C252" s="327"/>
      <c r="D252" s="327"/>
      <c r="E252" s="327"/>
      <c r="F252" s="327"/>
      <c r="G252" s="327"/>
      <c r="H252" s="328"/>
    </row>
    <row r="253" spans="1:8" x14ac:dyDescent="0.3">
      <c r="A253" s="78"/>
      <c r="B253" s="79"/>
      <c r="C253" s="79"/>
      <c r="D253" s="79"/>
      <c r="E253" s="79"/>
      <c r="F253" s="79"/>
      <c r="G253" s="79"/>
      <c r="H253" s="80"/>
    </row>
    <row r="254" spans="1:8" ht="27.6" x14ac:dyDescent="0.3">
      <c r="A254" s="215" t="s">
        <v>172</v>
      </c>
      <c r="B254" s="204"/>
      <c r="C254" s="204"/>
      <c r="D254" s="2" t="s">
        <v>239</v>
      </c>
      <c r="E254" s="204" t="s">
        <v>33</v>
      </c>
      <c r="F254" s="317" t="s">
        <v>32</v>
      </c>
      <c r="G254" s="317"/>
      <c r="H254" s="207">
        <f>SUM(H255:H261)</f>
        <v>24.68</v>
      </c>
    </row>
    <row r="255" spans="1:8" ht="27.6" x14ac:dyDescent="0.3">
      <c r="A255" s="95" t="s">
        <v>36</v>
      </c>
      <c r="B255" s="198" t="s">
        <v>23</v>
      </c>
      <c r="C255" s="136">
        <v>11267</v>
      </c>
      <c r="D255" s="81" t="s">
        <v>179</v>
      </c>
      <c r="E255" s="198" t="s">
        <v>13</v>
      </c>
      <c r="F255" s="53">
        <v>4</v>
      </c>
      <c r="G255" s="48">
        <v>0.8</v>
      </c>
      <c r="H255" s="50">
        <f t="shared" ref="H255:H261" si="38">TRUNC(G255*F255,2)</f>
        <v>3.2</v>
      </c>
    </row>
    <row r="256" spans="1:8" x14ac:dyDescent="0.3">
      <c r="A256" s="95" t="s">
        <v>36</v>
      </c>
      <c r="B256" s="198" t="s">
        <v>23</v>
      </c>
      <c r="C256" s="136">
        <v>11976</v>
      </c>
      <c r="D256" s="81" t="s">
        <v>141</v>
      </c>
      <c r="E256" s="198" t="s">
        <v>13</v>
      </c>
      <c r="F256" s="53">
        <v>1.333</v>
      </c>
      <c r="G256" s="48">
        <v>1.1399999999999999</v>
      </c>
      <c r="H256" s="50">
        <f t="shared" si="38"/>
        <v>1.51</v>
      </c>
    </row>
    <row r="257" spans="1:8" x14ac:dyDescent="0.3">
      <c r="A257" s="95" t="s">
        <v>36</v>
      </c>
      <c r="B257" s="198" t="s">
        <v>69</v>
      </c>
      <c r="C257" s="94" t="str">
        <f>'MAPA DE COTAÇÃO'!A150</f>
        <v>C034</v>
      </c>
      <c r="D257" s="81" t="str">
        <f>'MAPA DE COTAÇÃO'!B150</f>
        <v>SUPORTE VERTICAL 200X50MM</v>
      </c>
      <c r="E257" s="198" t="s">
        <v>13</v>
      </c>
      <c r="F257" s="53">
        <v>1</v>
      </c>
      <c r="G257" s="48">
        <f>'MAPA DE COTAÇÃO'!G150</f>
        <v>14.25</v>
      </c>
      <c r="H257" s="50">
        <f t="shared" si="38"/>
        <v>14.25</v>
      </c>
    </row>
    <row r="258" spans="1:8" x14ac:dyDescent="0.3">
      <c r="A258" s="95" t="s">
        <v>36</v>
      </c>
      <c r="B258" s="198" t="s">
        <v>23</v>
      </c>
      <c r="C258" s="136">
        <v>39997</v>
      </c>
      <c r="D258" s="81" t="s">
        <v>144</v>
      </c>
      <c r="E258" s="198" t="s">
        <v>13</v>
      </c>
      <c r="F258" s="53">
        <v>0.46700000000000003</v>
      </c>
      <c r="G258" s="48">
        <v>0.28000000000000003</v>
      </c>
      <c r="H258" s="50">
        <f t="shared" si="38"/>
        <v>0.13</v>
      </c>
    </row>
    <row r="259" spans="1:8" x14ac:dyDescent="0.3">
      <c r="A259" s="95" t="s">
        <v>36</v>
      </c>
      <c r="B259" s="198" t="s">
        <v>23</v>
      </c>
      <c r="C259" s="146">
        <v>39996</v>
      </c>
      <c r="D259" s="81" t="s">
        <v>143</v>
      </c>
      <c r="E259" s="198" t="s">
        <v>33</v>
      </c>
      <c r="F259" s="53">
        <v>0.46700000000000003</v>
      </c>
      <c r="G259" s="48">
        <v>4.53</v>
      </c>
      <c r="H259" s="50">
        <f t="shared" si="38"/>
        <v>2.11</v>
      </c>
    </row>
    <row r="260" spans="1:8" x14ac:dyDescent="0.3">
      <c r="A260" s="95" t="s">
        <v>77</v>
      </c>
      <c r="B260" s="198" t="s">
        <v>23</v>
      </c>
      <c r="C260" s="94">
        <v>88316</v>
      </c>
      <c r="D260" s="49" t="s">
        <v>84</v>
      </c>
      <c r="E260" s="198" t="s">
        <v>38</v>
      </c>
      <c r="F260" s="53">
        <v>2.3E-2</v>
      </c>
      <c r="G260" s="48">
        <v>15.16</v>
      </c>
      <c r="H260" s="50">
        <f t="shared" si="38"/>
        <v>0.34</v>
      </c>
    </row>
    <row r="261" spans="1:8" x14ac:dyDescent="0.3">
      <c r="A261" s="95" t="s">
        <v>77</v>
      </c>
      <c r="B261" s="198" t="s">
        <v>23</v>
      </c>
      <c r="C261" s="94">
        <v>88264</v>
      </c>
      <c r="D261" s="49" t="s">
        <v>61</v>
      </c>
      <c r="E261" s="198" t="s">
        <v>38</v>
      </c>
      <c r="F261" s="53">
        <v>0.161</v>
      </c>
      <c r="G261" s="48">
        <v>19.53</v>
      </c>
      <c r="H261" s="50">
        <f t="shared" si="38"/>
        <v>3.14</v>
      </c>
    </row>
    <row r="262" spans="1:8" x14ac:dyDescent="0.3">
      <c r="A262" s="326" t="s">
        <v>555</v>
      </c>
      <c r="B262" s="327"/>
      <c r="C262" s="327"/>
      <c r="D262" s="327"/>
      <c r="E262" s="327"/>
      <c r="F262" s="327"/>
      <c r="G262" s="327"/>
      <c r="H262" s="328"/>
    </row>
    <row r="263" spans="1:8" x14ac:dyDescent="0.3">
      <c r="A263" s="78"/>
      <c r="B263" s="79"/>
      <c r="C263" s="79"/>
      <c r="D263" s="79"/>
      <c r="E263" s="79"/>
      <c r="F263" s="79"/>
      <c r="G263" s="79"/>
      <c r="H263" s="80"/>
    </row>
    <row r="264" spans="1:8" ht="27.6" x14ac:dyDescent="0.3">
      <c r="A264" s="215" t="s">
        <v>185</v>
      </c>
      <c r="B264" s="204"/>
      <c r="C264" s="204"/>
      <c r="D264" s="2" t="s">
        <v>240</v>
      </c>
      <c r="E264" s="204" t="s">
        <v>33</v>
      </c>
      <c r="F264" s="317" t="s">
        <v>32</v>
      </c>
      <c r="G264" s="317"/>
      <c r="H264" s="207">
        <f>SUM(H265:H271)</f>
        <v>27.05</v>
      </c>
    </row>
    <row r="265" spans="1:8" ht="27.6" x14ac:dyDescent="0.3">
      <c r="A265" s="95" t="s">
        <v>36</v>
      </c>
      <c r="B265" s="198" t="s">
        <v>23</v>
      </c>
      <c r="C265" s="136">
        <v>11267</v>
      </c>
      <c r="D265" s="81" t="s">
        <v>179</v>
      </c>
      <c r="E265" s="198" t="s">
        <v>13</v>
      </c>
      <c r="F265" s="53">
        <v>4</v>
      </c>
      <c r="G265" s="48">
        <v>0.8</v>
      </c>
      <c r="H265" s="50">
        <f t="shared" ref="H265:H271" si="39">TRUNC(G265*F265,2)</f>
        <v>3.2</v>
      </c>
    </row>
    <row r="266" spans="1:8" x14ac:dyDescent="0.3">
      <c r="A266" s="95" t="s">
        <v>36</v>
      </c>
      <c r="B266" s="198" t="s">
        <v>23</v>
      </c>
      <c r="C266" s="136">
        <v>11976</v>
      </c>
      <c r="D266" s="81" t="s">
        <v>141</v>
      </c>
      <c r="E266" s="198" t="s">
        <v>13</v>
      </c>
      <c r="F266" s="53">
        <v>1.333</v>
      </c>
      <c r="G266" s="48">
        <v>1.1399999999999999</v>
      </c>
      <c r="H266" s="50">
        <f t="shared" si="39"/>
        <v>1.51</v>
      </c>
    </row>
    <row r="267" spans="1:8" x14ac:dyDescent="0.3">
      <c r="A267" s="95" t="s">
        <v>36</v>
      </c>
      <c r="B267" s="198" t="s">
        <v>69</v>
      </c>
      <c r="C267" s="150" t="str">
        <f>'MAPA DE COTAÇÃO'!A154</f>
        <v>C035</v>
      </c>
      <c r="D267" s="48" t="str">
        <f>'MAPA DE COTAÇÃO'!B154</f>
        <v>SUPORTE VERTICAL 200X100MM</v>
      </c>
      <c r="E267" s="198" t="s">
        <v>13</v>
      </c>
      <c r="F267" s="53">
        <v>1</v>
      </c>
      <c r="G267" s="48">
        <f>'MAPA DE COTAÇÃO'!G154</f>
        <v>16.62</v>
      </c>
      <c r="H267" s="50">
        <f t="shared" si="39"/>
        <v>16.62</v>
      </c>
    </row>
    <row r="268" spans="1:8" x14ac:dyDescent="0.3">
      <c r="A268" s="95" t="s">
        <v>36</v>
      </c>
      <c r="B268" s="198" t="s">
        <v>23</v>
      </c>
      <c r="C268" s="136">
        <v>39997</v>
      </c>
      <c r="D268" s="81" t="s">
        <v>144</v>
      </c>
      <c r="E268" s="198" t="s">
        <v>13</v>
      </c>
      <c r="F268" s="53">
        <v>0.46700000000000003</v>
      </c>
      <c r="G268" s="48">
        <v>0.28000000000000003</v>
      </c>
      <c r="H268" s="50">
        <f t="shared" si="39"/>
        <v>0.13</v>
      </c>
    </row>
    <row r="269" spans="1:8" x14ac:dyDescent="0.3">
      <c r="A269" s="95" t="s">
        <v>36</v>
      </c>
      <c r="B269" s="198" t="s">
        <v>23</v>
      </c>
      <c r="C269" s="146">
        <v>39996</v>
      </c>
      <c r="D269" s="81" t="s">
        <v>143</v>
      </c>
      <c r="E269" s="198" t="s">
        <v>33</v>
      </c>
      <c r="F269" s="53">
        <v>0.46700000000000003</v>
      </c>
      <c r="G269" s="48">
        <v>4.53</v>
      </c>
      <c r="H269" s="50">
        <f t="shared" si="39"/>
        <v>2.11</v>
      </c>
    </row>
    <row r="270" spans="1:8" x14ac:dyDescent="0.3">
      <c r="A270" s="95" t="s">
        <v>77</v>
      </c>
      <c r="B270" s="198" t="s">
        <v>23</v>
      </c>
      <c r="C270" s="94">
        <v>88316</v>
      </c>
      <c r="D270" s="49" t="s">
        <v>84</v>
      </c>
      <c r="E270" s="198" t="s">
        <v>38</v>
      </c>
      <c r="F270" s="53">
        <v>2.3E-2</v>
      </c>
      <c r="G270" s="48">
        <v>15.16</v>
      </c>
      <c r="H270" s="50">
        <f t="shared" si="39"/>
        <v>0.34</v>
      </c>
    </row>
    <row r="271" spans="1:8" x14ac:dyDescent="0.3">
      <c r="A271" s="95" t="s">
        <v>77</v>
      </c>
      <c r="B271" s="198" t="s">
        <v>23</v>
      </c>
      <c r="C271" s="94">
        <v>88264</v>
      </c>
      <c r="D271" s="49" t="s">
        <v>61</v>
      </c>
      <c r="E271" s="198" t="s">
        <v>38</v>
      </c>
      <c r="F271" s="53">
        <v>0.161</v>
      </c>
      <c r="G271" s="48">
        <v>19.53</v>
      </c>
      <c r="H271" s="50">
        <f t="shared" si="39"/>
        <v>3.14</v>
      </c>
    </row>
    <row r="272" spans="1:8" x14ac:dyDescent="0.3">
      <c r="A272" s="326" t="s">
        <v>555</v>
      </c>
      <c r="B272" s="327"/>
      <c r="C272" s="327"/>
      <c r="D272" s="327"/>
      <c r="E272" s="327"/>
      <c r="F272" s="327"/>
      <c r="G272" s="327"/>
      <c r="H272" s="328"/>
    </row>
    <row r="273" spans="1:8" x14ac:dyDescent="0.3">
      <c r="A273" s="78"/>
      <c r="B273" s="79"/>
      <c r="C273" s="79"/>
      <c r="D273" s="79"/>
      <c r="E273" s="79"/>
      <c r="F273" s="79"/>
      <c r="G273" s="79"/>
      <c r="H273" s="80"/>
    </row>
    <row r="274" spans="1:8" x14ac:dyDescent="0.3">
      <c r="A274" s="215" t="s">
        <v>332</v>
      </c>
      <c r="B274" s="204"/>
      <c r="C274" s="204"/>
      <c r="D274" s="135" t="s">
        <v>247</v>
      </c>
      <c r="E274" s="204" t="s">
        <v>13</v>
      </c>
      <c r="F274" s="329" t="s">
        <v>32</v>
      </c>
      <c r="G274" s="330"/>
      <c r="H274" s="207">
        <f>SUM(H275:H277)</f>
        <v>7.13</v>
      </c>
    </row>
    <row r="275" spans="1:8" x14ac:dyDescent="0.3">
      <c r="A275" s="95" t="s">
        <v>36</v>
      </c>
      <c r="B275" s="198" t="s">
        <v>69</v>
      </c>
      <c r="C275" s="150" t="str">
        <f>'MAPA DE COTAÇÃO'!A158</f>
        <v>C036</v>
      </c>
      <c r="D275" s="81" t="str">
        <f>'MAPA DE COTAÇÃO'!B158</f>
        <v>TALA PLANA PERFURADA 50MM</v>
      </c>
      <c r="E275" s="150" t="str">
        <f>'MAPA DE COTAÇÃO'!C158</f>
        <v>UN</v>
      </c>
      <c r="F275" s="53">
        <v>1</v>
      </c>
      <c r="G275" s="48">
        <f>'MAPA DE COTAÇÃO'!G158</f>
        <v>3.67</v>
      </c>
      <c r="H275" s="50">
        <f t="shared" ref="H275:H277" si="40">TRUNC(G275*F275,2)</f>
        <v>3.67</v>
      </c>
    </row>
    <row r="276" spans="1:8" x14ac:dyDescent="0.3">
      <c r="A276" s="95" t="s">
        <v>37</v>
      </c>
      <c r="B276" s="198" t="s">
        <v>23</v>
      </c>
      <c r="C276" s="149" t="s">
        <v>154</v>
      </c>
      <c r="D276" s="81" t="s">
        <v>61</v>
      </c>
      <c r="E276" s="93" t="s">
        <v>38</v>
      </c>
      <c r="F276" s="53">
        <v>0.1</v>
      </c>
      <c r="G276" s="48">
        <v>19.53</v>
      </c>
      <c r="H276" s="50">
        <f t="shared" si="40"/>
        <v>1.95</v>
      </c>
    </row>
    <row r="277" spans="1:8" x14ac:dyDescent="0.3">
      <c r="A277" s="95" t="s">
        <v>37</v>
      </c>
      <c r="B277" s="198" t="s">
        <v>23</v>
      </c>
      <c r="C277" s="149" t="s">
        <v>200</v>
      </c>
      <c r="D277" s="81" t="s">
        <v>84</v>
      </c>
      <c r="E277" s="93" t="s">
        <v>38</v>
      </c>
      <c r="F277" s="53">
        <v>0.1</v>
      </c>
      <c r="G277" s="48">
        <v>15.16</v>
      </c>
      <c r="H277" s="50">
        <f t="shared" si="40"/>
        <v>1.51</v>
      </c>
    </row>
    <row r="278" spans="1:8" x14ac:dyDescent="0.3">
      <c r="A278" s="326" t="s">
        <v>557</v>
      </c>
      <c r="B278" s="327"/>
      <c r="C278" s="327"/>
      <c r="D278" s="327"/>
      <c r="E278" s="327"/>
      <c r="F278" s="327"/>
      <c r="G278" s="327"/>
      <c r="H278" s="328"/>
    </row>
    <row r="279" spans="1:8" x14ac:dyDescent="0.3">
      <c r="A279" s="78"/>
      <c r="B279" s="79"/>
      <c r="C279" s="79"/>
      <c r="D279" s="79"/>
      <c r="E279" s="79"/>
      <c r="F279" s="79"/>
      <c r="G279" s="79"/>
      <c r="H279" s="80"/>
    </row>
    <row r="280" spans="1:8" x14ac:dyDescent="0.3">
      <c r="A280" s="215" t="s">
        <v>333</v>
      </c>
      <c r="B280" s="204"/>
      <c r="C280" s="204"/>
      <c r="D280" s="135" t="s">
        <v>250</v>
      </c>
      <c r="E280" s="204" t="s">
        <v>13</v>
      </c>
      <c r="F280" s="329" t="s">
        <v>32</v>
      </c>
      <c r="G280" s="330"/>
      <c r="H280" s="207">
        <f>SUM(H281:H283)</f>
        <v>9.2200000000000006</v>
      </c>
    </row>
    <row r="281" spans="1:8" x14ac:dyDescent="0.3">
      <c r="A281" s="95" t="s">
        <v>36</v>
      </c>
      <c r="B281" s="198" t="s">
        <v>69</v>
      </c>
      <c r="C281" s="150" t="str">
        <f>'MAPA DE COTAÇÃO'!A162</f>
        <v>C037</v>
      </c>
      <c r="D281" s="81" t="str">
        <f>'MAPA DE COTAÇÃO'!B162</f>
        <v>TALA PLANA PERFURADA 100MM</v>
      </c>
      <c r="E281" s="150" t="str">
        <f>'MAPA DE COTAÇÃO'!C162</f>
        <v>UN</v>
      </c>
      <c r="F281" s="53">
        <v>1</v>
      </c>
      <c r="G281" s="48">
        <f>'MAPA DE COTAÇÃO'!G162</f>
        <v>5.76</v>
      </c>
      <c r="H281" s="50">
        <f t="shared" ref="H281:H283" si="41">TRUNC(G281*F281,2)</f>
        <v>5.76</v>
      </c>
    </row>
    <row r="282" spans="1:8" x14ac:dyDescent="0.3">
      <c r="A282" s="95" t="s">
        <v>37</v>
      </c>
      <c r="B282" s="198" t="s">
        <v>23</v>
      </c>
      <c r="C282" s="149" t="s">
        <v>154</v>
      </c>
      <c r="D282" s="81" t="s">
        <v>61</v>
      </c>
      <c r="E282" s="93" t="s">
        <v>38</v>
      </c>
      <c r="F282" s="53">
        <v>0.1</v>
      </c>
      <c r="G282" s="48">
        <v>19.53</v>
      </c>
      <c r="H282" s="50">
        <f t="shared" si="41"/>
        <v>1.95</v>
      </c>
    </row>
    <row r="283" spans="1:8" x14ac:dyDescent="0.3">
      <c r="A283" s="95" t="s">
        <v>37</v>
      </c>
      <c r="B283" s="198" t="s">
        <v>23</v>
      </c>
      <c r="C283" s="149" t="s">
        <v>200</v>
      </c>
      <c r="D283" s="81" t="s">
        <v>84</v>
      </c>
      <c r="E283" s="93" t="s">
        <v>38</v>
      </c>
      <c r="F283" s="53">
        <v>0.1</v>
      </c>
      <c r="G283" s="48">
        <v>15.16</v>
      </c>
      <c r="H283" s="50">
        <f t="shared" si="41"/>
        <v>1.51</v>
      </c>
    </row>
    <row r="284" spans="1:8" x14ac:dyDescent="0.3">
      <c r="A284" s="326" t="s">
        <v>557</v>
      </c>
      <c r="B284" s="327"/>
      <c r="C284" s="327"/>
      <c r="D284" s="327"/>
      <c r="E284" s="327"/>
      <c r="F284" s="327"/>
      <c r="G284" s="327"/>
      <c r="H284" s="328"/>
    </row>
    <row r="285" spans="1:8" x14ac:dyDescent="0.3">
      <c r="A285" s="78"/>
      <c r="B285" s="79"/>
      <c r="C285" s="79"/>
      <c r="D285" s="79"/>
      <c r="E285" s="79"/>
      <c r="F285" s="79"/>
      <c r="G285" s="79"/>
      <c r="H285" s="80"/>
    </row>
    <row r="286" spans="1:8" ht="13.5" customHeight="1" x14ac:dyDescent="0.3">
      <c r="A286" s="215" t="s">
        <v>334</v>
      </c>
      <c r="B286" s="204"/>
      <c r="C286" s="204"/>
      <c r="D286" s="135" t="s">
        <v>251</v>
      </c>
      <c r="E286" s="204" t="s">
        <v>120</v>
      </c>
      <c r="F286" s="317" t="s">
        <v>32</v>
      </c>
      <c r="G286" s="317"/>
      <c r="H286" s="207">
        <f>SUM(H287:H289)</f>
        <v>60.32</v>
      </c>
    </row>
    <row r="287" spans="1:8" x14ac:dyDescent="0.3">
      <c r="A287" s="95" t="s">
        <v>36</v>
      </c>
      <c r="B287" s="198" t="s">
        <v>69</v>
      </c>
      <c r="C287" s="150" t="str">
        <f>'MAPA DE COTAÇÃO'!A166</f>
        <v>C038</v>
      </c>
      <c r="D287" s="81" t="str">
        <f>'MAPA DE COTAÇÃO'!B166</f>
        <v>"T" HORIZONTAL 90° - 200X50MM</v>
      </c>
      <c r="E287" s="198" t="s">
        <v>120</v>
      </c>
      <c r="F287" s="53">
        <v>1</v>
      </c>
      <c r="G287" s="48">
        <f>'MAPA DE COTAÇÃO'!G166</f>
        <v>56.86</v>
      </c>
      <c r="H287" s="50">
        <f t="shared" ref="H287:H289" si="42">TRUNC(G287*F287,2)</f>
        <v>56.86</v>
      </c>
    </row>
    <row r="288" spans="1:8" x14ac:dyDescent="0.3">
      <c r="A288" s="95" t="s">
        <v>77</v>
      </c>
      <c r="B288" s="198" t="s">
        <v>23</v>
      </c>
      <c r="C288" s="94">
        <v>88316</v>
      </c>
      <c r="D288" s="49" t="s">
        <v>84</v>
      </c>
      <c r="E288" s="198" t="s">
        <v>38</v>
      </c>
      <c r="F288" s="53">
        <v>0.1</v>
      </c>
      <c r="G288" s="48">
        <v>15.16</v>
      </c>
      <c r="H288" s="50">
        <f t="shared" si="42"/>
        <v>1.51</v>
      </c>
    </row>
    <row r="289" spans="1:8" x14ac:dyDescent="0.3">
      <c r="A289" s="95" t="s">
        <v>77</v>
      </c>
      <c r="B289" s="198" t="s">
        <v>23</v>
      </c>
      <c r="C289" s="94">
        <v>88264</v>
      </c>
      <c r="D289" s="49" t="s">
        <v>61</v>
      </c>
      <c r="E289" s="198" t="s">
        <v>38</v>
      </c>
      <c r="F289" s="53">
        <v>0.1</v>
      </c>
      <c r="G289" s="48">
        <v>19.53</v>
      </c>
      <c r="H289" s="50">
        <f t="shared" si="42"/>
        <v>1.95</v>
      </c>
    </row>
    <row r="290" spans="1:8" x14ac:dyDescent="0.3">
      <c r="A290" s="326" t="s">
        <v>557</v>
      </c>
      <c r="B290" s="327"/>
      <c r="C290" s="327"/>
      <c r="D290" s="327"/>
      <c r="E290" s="327"/>
      <c r="F290" s="327"/>
      <c r="G290" s="327"/>
      <c r="H290" s="328"/>
    </row>
    <row r="291" spans="1:8" x14ac:dyDescent="0.3">
      <c r="A291" s="78"/>
      <c r="B291" s="79"/>
      <c r="C291" s="79"/>
      <c r="D291" s="79"/>
      <c r="E291" s="79"/>
      <c r="F291" s="79"/>
      <c r="G291" s="79"/>
      <c r="H291" s="80"/>
    </row>
    <row r="292" spans="1:8" ht="27.6" x14ac:dyDescent="0.3">
      <c r="A292" s="215" t="s">
        <v>335</v>
      </c>
      <c r="B292" s="204"/>
      <c r="C292" s="204"/>
      <c r="D292" s="135" t="s">
        <v>252</v>
      </c>
      <c r="E292" s="204" t="s">
        <v>120</v>
      </c>
      <c r="F292" s="317" t="s">
        <v>32</v>
      </c>
      <c r="G292" s="317"/>
      <c r="H292" s="207">
        <f>SUM(H293:H295)</f>
        <v>69.260000000000005</v>
      </c>
    </row>
    <row r="293" spans="1:8" x14ac:dyDescent="0.3">
      <c r="A293" s="95" t="s">
        <v>36</v>
      </c>
      <c r="B293" s="198" t="s">
        <v>69</v>
      </c>
      <c r="C293" s="150" t="str">
        <f>'MAPA DE COTAÇÃO'!A170</f>
        <v>C039</v>
      </c>
      <c r="D293" s="81" t="str">
        <f>'MAPA DE COTAÇÃO'!B170</f>
        <v>"T" HORIZONTAL 90° - 200X100MM</v>
      </c>
      <c r="E293" s="198" t="s">
        <v>120</v>
      </c>
      <c r="F293" s="53">
        <v>1</v>
      </c>
      <c r="G293" s="48">
        <f>'MAPA DE COTAÇÃO'!G170</f>
        <v>65.8</v>
      </c>
      <c r="H293" s="50">
        <f t="shared" ref="H293:H295" si="43">TRUNC(G293*F293,2)</f>
        <v>65.8</v>
      </c>
    </row>
    <row r="294" spans="1:8" x14ac:dyDescent="0.3">
      <c r="A294" s="95" t="s">
        <v>77</v>
      </c>
      <c r="B294" s="198" t="s">
        <v>23</v>
      </c>
      <c r="C294" s="94">
        <v>88316</v>
      </c>
      <c r="D294" s="49" t="s">
        <v>84</v>
      </c>
      <c r="E294" s="198" t="s">
        <v>38</v>
      </c>
      <c r="F294" s="53">
        <v>0.1</v>
      </c>
      <c r="G294" s="48">
        <v>15.16</v>
      </c>
      <c r="H294" s="50">
        <f t="shared" si="43"/>
        <v>1.51</v>
      </c>
    </row>
    <row r="295" spans="1:8" x14ac:dyDescent="0.3">
      <c r="A295" s="95" t="s">
        <v>77</v>
      </c>
      <c r="B295" s="198" t="s">
        <v>23</v>
      </c>
      <c r="C295" s="94">
        <v>88264</v>
      </c>
      <c r="D295" s="49" t="s">
        <v>61</v>
      </c>
      <c r="E295" s="198" t="s">
        <v>38</v>
      </c>
      <c r="F295" s="53">
        <v>0.1</v>
      </c>
      <c r="G295" s="48">
        <v>19.53</v>
      </c>
      <c r="H295" s="50">
        <f t="shared" si="43"/>
        <v>1.95</v>
      </c>
    </row>
    <row r="296" spans="1:8" x14ac:dyDescent="0.3">
      <c r="A296" s="326" t="s">
        <v>557</v>
      </c>
      <c r="B296" s="327"/>
      <c r="C296" s="327"/>
      <c r="D296" s="327"/>
      <c r="E296" s="327"/>
      <c r="F296" s="327"/>
      <c r="G296" s="327"/>
      <c r="H296" s="328"/>
    </row>
    <row r="297" spans="1:8" x14ac:dyDescent="0.3">
      <c r="A297" s="78"/>
      <c r="B297" s="79"/>
      <c r="C297" s="79"/>
      <c r="D297" s="79"/>
      <c r="E297" s="79"/>
      <c r="F297" s="79"/>
      <c r="G297" s="79"/>
      <c r="H297" s="80"/>
    </row>
    <row r="298" spans="1:8" ht="13.5" customHeight="1" x14ac:dyDescent="0.3">
      <c r="A298" s="215" t="s">
        <v>336</v>
      </c>
      <c r="B298" s="204"/>
      <c r="C298" s="204"/>
      <c r="D298" s="135" t="s">
        <v>256</v>
      </c>
      <c r="E298" s="204" t="s">
        <v>120</v>
      </c>
      <c r="F298" s="317" t="s">
        <v>32</v>
      </c>
      <c r="G298" s="317"/>
      <c r="H298" s="207">
        <f>SUM(H299:H301)</f>
        <v>69.260000000000005</v>
      </c>
    </row>
    <row r="299" spans="1:8" x14ac:dyDescent="0.3">
      <c r="A299" s="95" t="s">
        <v>36</v>
      </c>
      <c r="B299" s="198" t="s">
        <v>69</v>
      </c>
      <c r="C299" s="150" t="str">
        <f>'MAPA DE COTAÇÃO'!A174</f>
        <v>C040</v>
      </c>
      <c r="D299" s="81" t="str">
        <f>'MAPA DE COTAÇÃO'!B174</f>
        <v xml:space="preserve">"T" VERTICAL SUBIDA 90° - 200X50MM </v>
      </c>
      <c r="E299" s="198" t="s">
        <v>120</v>
      </c>
      <c r="F299" s="53">
        <v>1</v>
      </c>
      <c r="G299" s="48">
        <f>'MAPA DE COTAÇÃO'!G174</f>
        <v>65.8</v>
      </c>
      <c r="H299" s="50">
        <f t="shared" ref="H299:H301" si="44">TRUNC(G299*F299,2)</f>
        <v>65.8</v>
      </c>
    </row>
    <row r="300" spans="1:8" x14ac:dyDescent="0.3">
      <c r="A300" s="95" t="s">
        <v>77</v>
      </c>
      <c r="B300" s="198" t="s">
        <v>23</v>
      </c>
      <c r="C300" s="94">
        <v>88316</v>
      </c>
      <c r="D300" s="49" t="s">
        <v>84</v>
      </c>
      <c r="E300" s="198" t="s">
        <v>38</v>
      </c>
      <c r="F300" s="53">
        <v>0.1</v>
      </c>
      <c r="G300" s="48">
        <v>15.16</v>
      </c>
      <c r="H300" s="50">
        <f t="shared" si="44"/>
        <v>1.51</v>
      </c>
    </row>
    <row r="301" spans="1:8" x14ac:dyDescent="0.3">
      <c r="A301" s="95" t="s">
        <v>77</v>
      </c>
      <c r="B301" s="198" t="s">
        <v>23</v>
      </c>
      <c r="C301" s="94">
        <v>88264</v>
      </c>
      <c r="D301" s="49" t="s">
        <v>61</v>
      </c>
      <c r="E301" s="198" t="s">
        <v>38</v>
      </c>
      <c r="F301" s="53">
        <v>0.1</v>
      </c>
      <c r="G301" s="48">
        <v>19.53</v>
      </c>
      <c r="H301" s="50">
        <f t="shared" si="44"/>
        <v>1.95</v>
      </c>
    </row>
    <row r="302" spans="1:8" x14ac:dyDescent="0.3">
      <c r="A302" s="326" t="s">
        <v>557</v>
      </c>
      <c r="B302" s="327"/>
      <c r="C302" s="327"/>
      <c r="D302" s="327"/>
      <c r="E302" s="327"/>
      <c r="F302" s="327"/>
      <c r="G302" s="327"/>
      <c r="H302" s="328"/>
    </row>
    <row r="303" spans="1:8" x14ac:dyDescent="0.3">
      <c r="A303" s="78"/>
      <c r="B303" s="79"/>
      <c r="C303" s="79"/>
      <c r="D303" s="79"/>
      <c r="E303" s="79"/>
      <c r="F303" s="79"/>
      <c r="G303" s="79"/>
      <c r="H303" s="80"/>
    </row>
    <row r="304" spans="1:8" ht="13.5" customHeight="1" x14ac:dyDescent="0.3">
      <c r="A304" s="215" t="s">
        <v>337</v>
      </c>
      <c r="B304" s="204"/>
      <c r="C304" s="204"/>
      <c r="D304" s="135" t="s">
        <v>463</v>
      </c>
      <c r="E304" s="204" t="s">
        <v>120</v>
      </c>
      <c r="F304" s="317" t="s">
        <v>32</v>
      </c>
      <c r="G304" s="317"/>
      <c r="H304" s="207">
        <f>SUM(H305:H307)</f>
        <v>69.260000000000005</v>
      </c>
    </row>
    <row r="305" spans="1:8" x14ac:dyDescent="0.3">
      <c r="A305" s="95" t="s">
        <v>36</v>
      </c>
      <c r="B305" s="198" t="s">
        <v>69</v>
      </c>
      <c r="C305" s="150" t="str">
        <f>'MAPA DE COTAÇÃO'!A178</f>
        <v>C041</v>
      </c>
      <c r="D305" s="81" t="str">
        <f>'MAPA DE COTAÇÃO'!B178</f>
        <v xml:space="preserve">"T" VERTICAL DESCIDA 90° - 200X100MM </v>
      </c>
      <c r="E305" s="198" t="s">
        <v>120</v>
      </c>
      <c r="F305" s="53">
        <v>1</v>
      </c>
      <c r="G305" s="48">
        <f>'MAPA DE COTAÇÃO'!G178</f>
        <v>65.8</v>
      </c>
      <c r="H305" s="50">
        <f t="shared" ref="H305:H307" si="45">TRUNC(G305*F305,2)</f>
        <v>65.8</v>
      </c>
    </row>
    <row r="306" spans="1:8" x14ac:dyDescent="0.3">
      <c r="A306" s="95" t="s">
        <v>77</v>
      </c>
      <c r="B306" s="198" t="s">
        <v>23</v>
      </c>
      <c r="C306" s="94">
        <v>88316</v>
      </c>
      <c r="D306" s="49" t="s">
        <v>84</v>
      </c>
      <c r="E306" s="198" t="s">
        <v>38</v>
      </c>
      <c r="F306" s="53">
        <v>0.1</v>
      </c>
      <c r="G306" s="48">
        <v>15.16</v>
      </c>
      <c r="H306" s="50">
        <f t="shared" si="45"/>
        <v>1.51</v>
      </c>
    </row>
    <row r="307" spans="1:8" x14ac:dyDescent="0.3">
      <c r="A307" s="95" t="s">
        <v>77</v>
      </c>
      <c r="B307" s="198" t="s">
        <v>23</v>
      </c>
      <c r="C307" s="94">
        <v>88264</v>
      </c>
      <c r="D307" s="49" t="s">
        <v>61</v>
      </c>
      <c r="E307" s="198" t="s">
        <v>38</v>
      </c>
      <c r="F307" s="53">
        <v>0.1</v>
      </c>
      <c r="G307" s="48">
        <v>19.53</v>
      </c>
      <c r="H307" s="50">
        <f t="shared" si="45"/>
        <v>1.95</v>
      </c>
    </row>
    <row r="308" spans="1:8" x14ac:dyDescent="0.3">
      <c r="A308" s="326" t="s">
        <v>557</v>
      </c>
      <c r="B308" s="327"/>
      <c r="C308" s="327"/>
      <c r="D308" s="327"/>
      <c r="E308" s="327"/>
      <c r="F308" s="327"/>
      <c r="G308" s="327"/>
      <c r="H308" s="328"/>
    </row>
    <row r="309" spans="1:8" x14ac:dyDescent="0.3">
      <c r="A309" s="78"/>
      <c r="B309" s="79"/>
      <c r="C309" s="79"/>
      <c r="D309" s="79"/>
      <c r="E309" s="79"/>
      <c r="F309" s="79"/>
      <c r="G309" s="79"/>
      <c r="H309" s="80"/>
    </row>
    <row r="310" spans="1:8" ht="27.6" x14ac:dyDescent="0.3">
      <c r="A310" s="215" t="s">
        <v>338</v>
      </c>
      <c r="B310" s="204"/>
      <c r="C310" s="204"/>
      <c r="D310" s="135" t="s">
        <v>146</v>
      </c>
      <c r="E310" s="204" t="s">
        <v>120</v>
      </c>
      <c r="F310" s="317" t="s">
        <v>32</v>
      </c>
      <c r="G310" s="317"/>
      <c r="H310" s="207">
        <f>SUM(H311:H313)</f>
        <v>43.4</v>
      </c>
    </row>
    <row r="311" spans="1:8" x14ac:dyDescent="0.3">
      <c r="A311" s="95" t="s">
        <v>36</v>
      </c>
      <c r="B311" s="198" t="s">
        <v>69</v>
      </c>
      <c r="C311" s="150" t="str">
        <f>'MAPA DE COTAÇÃO'!A182</f>
        <v>C042</v>
      </c>
      <c r="D311" s="81" t="str">
        <f>'MAPA DE COTAÇÃO'!B182</f>
        <v>CURVA 90° HORIZONTAL ELETROCALHA 100X50MM</v>
      </c>
      <c r="E311" s="198" t="s">
        <v>120</v>
      </c>
      <c r="F311" s="53">
        <v>1</v>
      </c>
      <c r="G311" s="48">
        <f>'MAPA DE COTAÇÃO'!G182</f>
        <v>36.47</v>
      </c>
      <c r="H311" s="50">
        <f t="shared" ref="H311:H313" si="46">TRUNC(G311*F311,2)</f>
        <v>36.47</v>
      </c>
    </row>
    <row r="312" spans="1:8" x14ac:dyDescent="0.3">
      <c r="A312" s="95" t="s">
        <v>77</v>
      </c>
      <c r="B312" s="198" t="s">
        <v>23</v>
      </c>
      <c r="C312" s="94">
        <v>88316</v>
      </c>
      <c r="D312" s="49" t="s">
        <v>84</v>
      </c>
      <c r="E312" s="198" t="s">
        <v>38</v>
      </c>
      <c r="F312" s="53">
        <v>0.2</v>
      </c>
      <c r="G312" s="48">
        <v>15.16</v>
      </c>
      <c r="H312" s="50">
        <f t="shared" si="46"/>
        <v>3.03</v>
      </c>
    </row>
    <row r="313" spans="1:8" x14ac:dyDescent="0.3">
      <c r="A313" s="95" t="s">
        <v>77</v>
      </c>
      <c r="B313" s="198" t="s">
        <v>23</v>
      </c>
      <c r="C313" s="94">
        <v>88264</v>
      </c>
      <c r="D313" s="49" t="s">
        <v>61</v>
      </c>
      <c r="E313" s="198" t="s">
        <v>38</v>
      </c>
      <c r="F313" s="53">
        <v>0.2</v>
      </c>
      <c r="G313" s="48">
        <v>19.53</v>
      </c>
      <c r="H313" s="50">
        <f t="shared" si="46"/>
        <v>3.9</v>
      </c>
    </row>
    <row r="314" spans="1:8" x14ac:dyDescent="0.3">
      <c r="A314" s="326" t="s">
        <v>562</v>
      </c>
      <c r="B314" s="327"/>
      <c r="C314" s="327"/>
      <c r="D314" s="327"/>
      <c r="E314" s="327"/>
      <c r="F314" s="327"/>
      <c r="G314" s="327"/>
      <c r="H314" s="328"/>
    </row>
    <row r="315" spans="1:8" x14ac:dyDescent="0.3">
      <c r="A315" s="78"/>
      <c r="B315" s="79"/>
      <c r="C315" s="79"/>
      <c r="D315" s="79"/>
      <c r="E315" s="79"/>
      <c r="F315" s="79"/>
      <c r="G315" s="79"/>
      <c r="H315" s="80"/>
    </row>
    <row r="316" spans="1:8" ht="27.6" x14ac:dyDescent="0.3">
      <c r="A316" s="215" t="s">
        <v>339</v>
      </c>
      <c r="B316" s="204"/>
      <c r="C316" s="204"/>
      <c r="D316" s="135" t="s">
        <v>257</v>
      </c>
      <c r="E316" s="204" t="s">
        <v>120</v>
      </c>
      <c r="F316" s="317" t="s">
        <v>32</v>
      </c>
      <c r="G316" s="317"/>
      <c r="H316" s="207">
        <f>SUM(H317:H319)</f>
        <v>66.240000000000009</v>
      </c>
    </row>
    <row r="317" spans="1:8" x14ac:dyDescent="0.3">
      <c r="A317" s="95" t="s">
        <v>36</v>
      </c>
      <c r="B317" s="198" t="s">
        <v>69</v>
      </c>
      <c r="C317" s="150" t="str">
        <f>'MAPA DE COTAÇÃO'!A186</f>
        <v>C043</v>
      </c>
      <c r="D317" s="81" t="str">
        <f>'MAPA DE COTAÇÃO'!B186</f>
        <v>CURVA 90° HORIZONTAL ELETROCALHA 200X50MM</v>
      </c>
      <c r="E317" s="198" t="s">
        <v>120</v>
      </c>
      <c r="F317" s="53">
        <v>1</v>
      </c>
      <c r="G317" s="48">
        <f>'MAPA DE COTAÇÃO'!G186</f>
        <v>59.31</v>
      </c>
      <c r="H317" s="50">
        <f t="shared" ref="H317:H319" si="47">TRUNC(G317*F317,2)</f>
        <v>59.31</v>
      </c>
    </row>
    <row r="318" spans="1:8" x14ac:dyDescent="0.3">
      <c r="A318" s="95" t="s">
        <v>77</v>
      </c>
      <c r="B318" s="198" t="s">
        <v>23</v>
      </c>
      <c r="C318" s="94">
        <v>88316</v>
      </c>
      <c r="D318" s="49" t="s">
        <v>84</v>
      </c>
      <c r="E318" s="198" t="s">
        <v>38</v>
      </c>
      <c r="F318" s="53">
        <v>0.2</v>
      </c>
      <c r="G318" s="48">
        <v>15.16</v>
      </c>
      <c r="H318" s="50">
        <f t="shared" si="47"/>
        <v>3.03</v>
      </c>
    </row>
    <row r="319" spans="1:8" x14ac:dyDescent="0.3">
      <c r="A319" s="95" t="s">
        <v>77</v>
      </c>
      <c r="B319" s="198" t="s">
        <v>23</v>
      </c>
      <c r="C319" s="94">
        <v>88264</v>
      </c>
      <c r="D319" s="49" t="s">
        <v>61</v>
      </c>
      <c r="E319" s="198" t="s">
        <v>38</v>
      </c>
      <c r="F319" s="53">
        <v>0.2</v>
      </c>
      <c r="G319" s="48">
        <v>19.53</v>
      </c>
      <c r="H319" s="50">
        <f t="shared" si="47"/>
        <v>3.9</v>
      </c>
    </row>
    <row r="320" spans="1:8" x14ac:dyDescent="0.3">
      <c r="A320" s="326" t="s">
        <v>562</v>
      </c>
      <c r="B320" s="327"/>
      <c r="C320" s="327"/>
      <c r="D320" s="327"/>
      <c r="E320" s="327"/>
      <c r="F320" s="327"/>
      <c r="G320" s="327"/>
      <c r="H320" s="328"/>
    </row>
    <row r="321" spans="1:8" x14ac:dyDescent="0.3">
      <c r="A321" s="78"/>
      <c r="B321" s="79"/>
      <c r="C321" s="79"/>
      <c r="D321" s="79"/>
      <c r="E321" s="79"/>
      <c r="F321" s="79"/>
      <c r="G321" s="79"/>
      <c r="H321" s="80"/>
    </row>
    <row r="322" spans="1:8" x14ac:dyDescent="0.3">
      <c r="A322" s="215" t="s">
        <v>340</v>
      </c>
      <c r="B322" s="204"/>
      <c r="C322" s="204"/>
      <c r="D322" s="135" t="s">
        <v>260</v>
      </c>
      <c r="E322" s="204" t="s">
        <v>120</v>
      </c>
      <c r="F322" s="317" t="s">
        <v>32</v>
      </c>
      <c r="G322" s="317"/>
      <c r="H322" s="207">
        <f>SUM(H323:H325)</f>
        <v>30.509999999999998</v>
      </c>
    </row>
    <row r="323" spans="1:8" x14ac:dyDescent="0.3">
      <c r="A323" s="95" t="s">
        <v>601</v>
      </c>
      <c r="B323" s="198" t="s">
        <v>69</v>
      </c>
      <c r="C323" s="150" t="str">
        <f>'MAPA DE COTAÇÃO'!A190</f>
        <v>C044</v>
      </c>
      <c r="D323" s="81" t="str">
        <f>'MAPA DE COTAÇÃO'!B190</f>
        <v xml:space="preserve">CURVA VERTICAL EXTERNA 90° - 200X50MM </v>
      </c>
      <c r="E323" s="198" t="s">
        <v>120</v>
      </c>
      <c r="F323" s="53">
        <v>1</v>
      </c>
      <c r="G323" s="48">
        <f>'MAPA DE COTAÇÃO'!G190</f>
        <v>23.58</v>
      </c>
      <c r="H323" s="50">
        <f t="shared" ref="H323:H325" si="48">TRUNC(G323*F323,2)</f>
        <v>23.58</v>
      </c>
    </row>
    <row r="324" spans="1:8" x14ac:dyDescent="0.3">
      <c r="A324" s="95" t="s">
        <v>77</v>
      </c>
      <c r="B324" s="198" t="s">
        <v>23</v>
      </c>
      <c r="C324" s="94">
        <v>88316</v>
      </c>
      <c r="D324" s="49" t="s">
        <v>84</v>
      </c>
      <c r="E324" s="198" t="s">
        <v>38</v>
      </c>
      <c r="F324" s="53">
        <v>0.2</v>
      </c>
      <c r="G324" s="48">
        <v>15.16</v>
      </c>
      <c r="H324" s="50">
        <f t="shared" si="48"/>
        <v>3.03</v>
      </c>
    </row>
    <row r="325" spans="1:8" x14ac:dyDescent="0.3">
      <c r="A325" s="95" t="s">
        <v>77</v>
      </c>
      <c r="B325" s="198" t="s">
        <v>23</v>
      </c>
      <c r="C325" s="94">
        <v>88264</v>
      </c>
      <c r="D325" s="49" t="s">
        <v>61</v>
      </c>
      <c r="E325" s="198" t="s">
        <v>38</v>
      </c>
      <c r="F325" s="53">
        <v>0.2</v>
      </c>
      <c r="G325" s="48">
        <v>19.53</v>
      </c>
      <c r="H325" s="50">
        <f t="shared" si="48"/>
        <v>3.9</v>
      </c>
    </row>
    <row r="326" spans="1:8" x14ac:dyDescent="0.3">
      <c r="A326" s="326" t="s">
        <v>563</v>
      </c>
      <c r="B326" s="327"/>
      <c r="C326" s="327"/>
      <c r="D326" s="327"/>
      <c r="E326" s="327"/>
      <c r="F326" s="327"/>
      <c r="G326" s="327"/>
      <c r="H326" s="328"/>
    </row>
    <row r="327" spans="1:8" x14ac:dyDescent="0.3">
      <c r="A327" s="78"/>
      <c r="B327" s="79"/>
      <c r="C327" s="79"/>
      <c r="D327" s="79"/>
      <c r="E327" s="79"/>
      <c r="F327" s="79"/>
      <c r="G327" s="79"/>
      <c r="H327" s="80"/>
    </row>
    <row r="328" spans="1:8" x14ac:dyDescent="0.3">
      <c r="A328" s="215" t="s">
        <v>341</v>
      </c>
      <c r="B328" s="204"/>
      <c r="C328" s="204"/>
      <c r="D328" s="135" t="s">
        <v>261</v>
      </c>
      <c r="E328" s="204" t="s">
        <v>120</v>
      </c>
      <c r="F328" s="317" t="s">
        <v>32</v>
      </c>
      <c r="G328" s="317"/>
      <c r="H328" s="207">
        <f>SUM(H329:H331)</f>
        <v>69.460000000000008</v>
      </c>
    </row>
    <row r="329" spans="1:8" x14ac:dyDescent="0.3">
      <c r="A329" s="95" t="s">
        <v>36</v>
      </c>
      <c r="B329" s="198" t="s">
        <v>69</v>
      </c>
      <c r="C329" s="150" t="str">
        <f>'MAPA DE COTAÇÃO'!A194</f>
        <v>C045</v>
      </c>
      <c r="D329" s="81" t="str">
        <f>'MAPA DE COTAÇÃO'!B194</f>
        <v xml:space="preserve">CURVA VERTICAL EXTERNA 90° - 200X100MM </v>
      </c>
      <c r="E329" s="198" t="s">
        <v>120</v>
      </c>
      <c r="F329" s="53">
        <v>1</v>
      </c>
      <c r="G329" s="48">
        <f>'MAPA DE COTAÇÃO'!G194</f>
        <v>62.53</v>
      </c>
      <c r="H329" s="50">
        <f t="shared" ref="H329:H331" si="49">TRUNC(G329*F329,2)</f>
        <v>62.53</v>
      </c>
    </row>
    <row r="330" spans="1:8" x14ac:dyDescent="0.3">
      <c r="A330" s="95" t="s">
        <v>77</v>
      </c>
      <c r="B330" s="198" t="s">
        <v>23</v>
      </c>
      <c r="C330" s="94">
        <v>88316</v>
      </c>
      <c r="D330" s="49" t="s">
        <v>84</v>
      </c>
      <c r="E330" s="198" t="s">
        <v>38</v>
      </c>
      <c r="F330" s="53">
        <v>0.2</v>
      </c>
      <c r="G330" s="48">
        <v>15.16</v>
      </c>
      <c r="H330" s="50">
        <f t="shared" si="49"/>
        <v>3.03</v>
      </c>
    </row>
    <row r="331" spans="1:8" x14ac:dyDescent="0.3">
      <c r="A331" s="95" t="s">
        <v>77</v>
      </c>
      <c r="B331" s="198" t="s">
        <v>23</v>
      </c>
      <c r="C331" s="94">
        <v>88264</v>
      </c>
      <c r="D331" s="49" t="s">
        <v>61</v>
      </c>
      <c r="E331" s="198" t="s">
        <v>38</v>
      </c>
      <c r="F331" s="53">
        <v>0.2</v>
      </c>
      <c r="G331" s="48">
        <v>19.53</v>
      </c>
      <c r="H331" s="50">
        <f t="shared" si="49"/>
        <v>3.9</v>
      </c>
    </row>
    <row r="332" spans="1:8" x14ac:dyDescent="0.3">
      <c r="A332" s="326" t="s">
        <v>563</v>
      </c>
      <c r="B332" s="327"/>
      <c r="C332" s="327"/>
      <c r="D332" s="327"/>
      <c r="E332" s="327"/>
      <c r="F332" s="327"/>
      <c r="G332" s="327"/>
      <c r="H332" s="328"/>
    </row>
    <row r="333" spans="1:8" x14ac:dyDescent="0.3">
      <c r="A333" s="78"/>
      <c r="B333" s="79"/>
      <c r="C333" s="79"/>
      <c r="D333" s="79"/>
      <c r="E333" s="79"/>
      <c r="F333" s="79"/>
      <c r="G333" s="79"/>
      <c r="H333" s="80"/>
    </row>
    <row r="334" spans="1:8" x14ac:dyDescent="0.3">
      <c r="A334" s="215" t="s">
        <v>342</v>
      </c>
      <c r="B334" s="204"/>
      <c r="C334" s="204"/>
      <c r="D334" s="135" t="s">
        <v>264</v>
      </c>
      <c r="E334" s="204" t="s">
        <v>120</v>
      </c>
      <c r="F334" s="317" t="s">
        <v>32</v>
      </c>
      <c r="G334" s="317"/>
      <c r="H334" s="207">
        <f>SUM(H335:H337)</f>
        <v>13.530000000000001</v>
      </c>
    </row>
    <row r="335" spans="1:8" x14ac:dyDescent="0.3">
      <c r="A335" s="95" t="s">
        <v>36</v>
      </c>
      <c r="B335" s="198" t="s">
        <v>69</v>
      </c>
      <c r="C335" s="150" t="str">
        <f>'MAPA DE COTAÇÃO'!A198</f>
        <v>C046</v>
      </c>
      <c r="D335" s="81" t="str">
        <f>'MAPA DE COTAÇÃO'!B198</f>
        <v>SAÍDA ELETROCALHA PARA ELETRODUTO  3/4"</v>
      </c>
      <c r="E335" s="198" t="s">
        <v>120</v>
      </c>
      <c r="F335" s="53">
        <v>1</v>
      </c>
      <c r="G335" s="48">
        <f>'MAPA DE COTAÇÃO'!G198</f>
        <v>5.91</v>
      </c>
      <c r="H335" s="50">
        <f t="shared" ref="H335:H337" si="50">TRUNC(G335*F335,2)</f>
        <v>5.91</v>
      </c>
    </row>
    <row r="336" spans="1:8" x14ac:dyDescent="0.3">
      <c r="A336" s="95" t="s">
        <v>77</v>
      </c>
      <c r="B336" s="198" t="s">
        <v>23</v>
      </c>
      <c r="C336" s="94">
        <v>88316</v>
      </c>
      <c r="D336" s="49" t="s">
        <v>84</v>
      </c>
      <c r="E336" s="198" t="s">
        <v>38</v>
      </c>
      <c r="F336" s="53">
        <v>0.22</v>
      </c>
      <c r="G336" s="48">
        <v>15.16</v>
      </c>
      <c r="H336" s="50">
        <f t="shared" si="50"/>
        <v>3.33</v>
      </c>
    </row>
    <row r="337" spans="1:8" x14ac:dyDescent="0.3">
      <c r="A337" s="95" t="s">
        <v>77</v>
      </c>
      <c r="B337" s="198" t="s">
        <v>23</v>
      </c>
      <c r="C337" s="94">
        <v>88264</v>
      </c>
      <c r="D337" s="49" t="s">
        <v>61</v>
      </c>
      <c r="E337" s="198" t="s">
        <v>38</v>
      </c>
      <c r="F337" s="53">
        <v>0.22</v>
      </c>
      <c r="G337" s="48">
        <v>19.53</v>
      </c>
      <c r="H337" s="50">
        <f t="shared" si="50"/>
        <v>4.29</v>
      </c>
    </row>
    <row r="338" spans="1:8" x14ac:dyDescent="0.3">
      <c r="A338" s="326" t="s">
        <v>560</v>
      </c>
      <c r="B338" s="327"/>
      <c r="C338" s="327"/>
      <c r="D338" s="327"/>
      <c r="E338" s="327"/>
      <c r="F338" s="327"/>
      <c r="G338" s="327"/>
      <c r="H338" s="328"/>
    </row>
    <row r="339" spans="1:8" x14ac:dyDescent="0.3">
      <c r="A339" s="78"/>
      <c r="B339" s="79"/>
      <c r="C339" s="79"/>
      <c r="D339" s="79"/>
      <c r="E339" s="79"/>
      <c r="F339" s="79"/>
      <c r="G339" s="79"/>
      <c r="H339" s="80"/>
    </row>
    <row r="340" spans="1:8" ht="27.6" x14ac:dyDescent="0.3">
      <c r="A340" s="215" t="s">
        <v>343</v>
      </c>
      <c r="B340" s="204"/>
      <c r="C340" s="204"/>
      <c r="D340" s="135" t="s">
        <v>266</v>
      </c>
      <c r="E340" s="204" t="s">
        <v>13</v>
      </c>
      <c r="F340" s="329" t="s">
        <v>32</v>
      </c>
      <c r="G340" s="330"/>
      <c r="H340" s="207">
        <f>SUM(H341:H343)</f>
        <v>14.129999999999999</v>
      </c>
    </row>
    <row r="341" spans="1:8" x14ac:dyDescent="0.3">
      <c r="A341" s="95" t="s">
        <v>36</v>
      </c>
      <c r="B341" s="198" t="s">
        <v>69</v>
      </c>
      <c r="C341" s="150" t="str">
        <f>'MAPA DE COTAÇÃO'!A202</f>
        <v>C047</v>
      </c>
      <c r="D341" s="81" t="str">
        <f>'MAPA DE COTAÇÃO'!B202</f>
        <v>ACOPLAMENTO LATERAL SIMPLES ELETROCALHA P/ PERFILADO 38X38MM</v>
      </c>
      <c r="E341" s="150" t="str">
        <f>'MAPA DE COTAÇÃO'!C202</f>
        <v>UN</v>
      </c>
      <c r="F341" s="53">
        <v>1</v>
      </c>
      <c r="G341" s="48">
        <f>'MAPA DE COTAÇÃO'!G202</f>
        <v>7.2</v>
      </c>
      <c r="H341" s="50">
        <f t="shared" ref="H341:H343" si="51">TRUNC(G341*F341,2)</f>
        <v>7.2</v>
      </c>
    </row>
    <row r="342" spans="1:8" x14ac:dyDescent="0.3">
      <c r="A342" s="95" t="s">
        <v>37</v>
      </c>
      <c r="B342" s="198" t="s">
        <v>23</v>
      </c>
      <c r="C342" s="149" t="s">
        <v>154</v>
      </c>
      <c r="D342" s="81" t="s">
        <v>61</v>
      </c>
      <c r="E342" s="93" t="s">
        <v>38</v>
      </c>
      <c r="F342" s="53">
        <v>0.2</v>
      </c>
      <c r="G342" s="48">
        <v>19.53</v>
      </c>
      <c r="H342" s="50">
        <f t="shared" si="51"/>
        <v>3.9</v>
      </c>
    </row>
    <row r="343" spans="1:8" x14ac:dyDescent="0.3">
      <c r="A343" s="95" t="s">
        <v>37</v>
      </c>
      <c r="B343" s="198" t="s">
        <v>23</v>
      </c>
      <c r="C343" s="149" t="s">
        <v>200</v>
      </c>
      <c r="D343" s="81" t="s">
        <v>84</v>
      </c>
      <c r="E343" s="93" t="s">
        <v>38</v>
      </c>
      <c r="F343" s="53">
        <v>0.2</v>
      </c>
      <c r="G343" s="48">
        <v>15.16</v>
      </c>
      <c r="H343" s="50">
        <f t="shared" si="51"/>
        <v>3.03</v>
      </c>
    </row>
    <row r="344" spans="1:8" x14ac:dyDescent="0.3">
      <c r="A344" s="326" t="s">
        <v>564</v>
      </c>
      <c r="B344" s="327"/>
      <c r="C344" s="327"/>
      <c r="D344" s="327"/>
      <c r="E344" s="327"/>
      <c r="F344" s="327"/>
      <c r="G344" s="327"/>
      <c r="H344" s="328"/>
    </row>
    <row r="345" spans="1:8" x14ac:dyDescent="0.3">
      <c r="A345" s="78"/>
      <c r="B345" s="79"/>
      <c r="C345" s="79"/>
      <c r="D345" s="79"/>
      <c r="E345" s="79"/>
      <c r="F345" s="79"/>
      <c r="G345" s="79"/>
      <c r="H345" s="80"/>
    </row>
    <row r="346" spans="1:8" ht="15" customHeight="1" x14ac:dyDescent="0.3">
      <c r="A346" s="215" t="s">
        <v>344</v>
      </c>
      <c r="B346" s="204"/>
      <c r="C346" s="204"/>
      <c r="D346" s="135" t="s">
        <v>268</v>
      </c>
      <c r="E346" s="204" t="s">
        <v>33</v>
      </c>
      <c r="F346" s="329" t="s">
        <v>32</v>
      </c>
      <c r="G346" s="330"/>
      <c r="H346" s="207">
        <f>SUM(H347:H351)</f>
        <v>128.65</v>
      </c>
    </row>
    <row r="347" spans="1:8" x14ac:dyDescent="0.3">
      <c r="A347" s="95" t="s">
        <v>36</v>
      </c>
      <c r="B347" s="198" t="s">
        <v>69</v>
      </c>
      <c r="C347" s="150" t="str">
        <f>'MAPA DE COTAÇÃO'!A206</f>
        <v>C048</v>
      </c>
      <c r="D347" s="81" t="str">
        <f>'MAPA DE COTAÇÃO'!B206</f>
        <v>CANALETA DE ALUMÍNIO - 73X25MM</v>
      </c>
      <c r="E347" s="93" t="str">
        <f>'MAPA DE COTAÇÃO'!C206</f>
        <v>M</v>
      </c>
      <c r="F347" s="53">
        <v>1</v>
      </c>
      <c r="G347" s="48">
        <f>'MAPA DE COTAÇÃO'!G206</f>
        <v>54.63</v>
      </c>
      <c r="H347" s="50">
        <f t="shared" ref="H347:H351" si="52">TRUNC(G347*F347,2)</f>
        <v>54.63</v>
      </c>
    </row>
    <row r="348" spans="1:8" ht="27.6" x14ac:dyDescent="0.3">
      <c r="A348" s="95" t="s">
        <v>36</v>
      </c>
      <c r="B348" s="198" t="s">
        <v>69</v>
      </c>
      <c r="C348" s="150" t="str">
        <f>'MAPA DE COTAÇÃO'!A210</f>
        <v>C049</v>
      </c>
      <c r="D348" s="81" t="str">
        <f>'MAPA DE COTAÇÃO'!B210</f>
        <v>TAMPA PARA CANALETA DE ALUMÍNIO - 73X25MM - REFERÊNCIA TAMPA ITALIANA LISA DUTOTEC</v>
      </c>
      <c r="E348" s="93" t="str">
        <f>'MAPA DE COTAÇÃO'!C210</f>
        <v>M</v>
      </c>
      <c r="F348" s="53">
        <v>1</v>
      </c>
      <c r="G348" s="48">
        <f>'MAPA DE COTAÇÃO'!G210</f>
        <v>47.06</v>
      </c>
      <c r="H348" s="50">
        <f t="shared" si="52"/>
        <v>47.06</v>
      </c>
    </row>
    <row r="349" spans="1:8" x14ac:dyDescent="0.3">
      <c r="A349" s="95" t="s">
        <v>36</v>
      </c>
      <c r="B349" s="198" t="s">
        <v>69</v>
      </c>
      <c r="C349" s="150" t="str">
        <f>'MAPA DE COTAÇÃO'!A214</f>
        <v>C050</v>
      </c>
      <c r="D349" s="185" t="str">
        <f>'MAPA DE COTAÇÃO'!B214</f>
        <v>ARREMATE DE TAMPA - REFERÊNCIA ARREMATE DE TAMPA LINHA ITALIANA DUTOTEC</v>
      </c>
      <c r="E349" s="93" t="str">
        <f>'MAPA DE COTAÇÃO'!C214</f>
        <v>UN</v>
      </c>
      <c r="F349" s="53">
        <f>58/447.8</f>
        <v>0.12952210808396605</v>
      </c>
      <c r="G349" s="48">
        <f>'MAPA DE COTAÇÃO'!G214</f>
        <v>7.41</v>
      </c>
      <c r="H349" s="50">
        <f t="shared" si="52"/>
        <v>0.95</v>
      </c>
    </row>
    <row r="350" spans="1:8" x14ac:dyDescent="0.3">
      <c r="A350" s="95" t="s">
        <v>37</v>
      </c>
      <c r="B350" s="198" t="s">
        <v>23</v>
      </c>
      <c r="C350" s="149" t="s">
        <v>154</v>
      </c>
      <c r="D350" s="81" t="s">
        <v>61</v>
      </c>
      <c r="E350" s="93" t="s">
        <v>38</v>
      </c>
      <c r="F350" s="53">
        <v>0.75</v>
      </c>
      <c r="G350" s="48">
        <v>19.53</v>
      </c>
      <c r="H350" s="50">
        <f t="shared" si="52"/>
        <v>14.64</v>
      </c>
    </row>
    <row r="351" spans="1:8" x14ac:dyDescent="0.3">
      <c r="A351" s="95" t="s">
        <v>37</v>
      </c>
      <c r="B351" s="198" t="s">
        <v>23</v>
      </c>
      <c r="C351" s="149" t="s">
        <v>200</v>
      </c>
      <c r="D351" s="81" t="s">
        <v>84</v>
      </c>
      <c r="E351" s="93" t="s">
        <v>38</v>
      </c>
      <c r="F351" s="53">
        <v>0.75</v>
      </c>
      <c r="G351" s="48">
        <v>15.16</v>
      </c>
      <c r="H351" s="50">
        <f t="shared" si="52"/>
        <v>11.37</v>
      </c>
    </row>
    <row r="352" spans="1:8" x14ac:dyDescent="0.3">
      <c r="A352" s="326" t="s">
        <v>565</v>
      </c>
      <c r="B352" s="327"/>
      <c r="C352" s="327"/>
      <c r="D352" s="327"/>
      <c r="E352" s="327"/>
      <c r="F352" s="327"/>
      <c r="G352" s="327"/>
      <c r="H352" s="328"/>
    </row>
    <row r="353" spans="1:8" x14ac:dyDescent="0.3">
      <c r="A353" s="78"/>
      <c r="B353" s="79"/>
      <c r="C353" s="79"/>
      <c r="D353" s="79"/>
      <c r="E353" s="79"/>
      <c r="F353" s="79"/>
      <c r="G353" s="79"/>
      <c r="H353" s="80"/>
    </row>
    <row r="354" spans="1:8" ht="27.6" x14ac:dyDescent="0.3">
      <c r="A354" s="215" t="s">
        <v>345</v>
      </c>
      <c r="B354" s="204"/>
      <c r="C354" s="204"/>
      <c r="D354" s="135" t="s">
        <v>273</v>
      </c>
      <c r="E354" s="204" t="s">
        <v>13</v>
      </c>
      <c r="F354" s="329" t="s">
        <v>32</v>
      </c>
      <c r="G354" s="330"/>
      <c r="H354" s="207">
        <f>SUM(H355:H357)</f>
        <v>70.11</v>
      </c>
    </row>
    <row r="355" spans="1:8" x14ac:dyDescent="0.3">
      <c r="A355" s="95" t="s">
        <v>36</v>
      </c>
      <c r="B355" s="198" t="s">
        <v>69</v>
      </c>
      <c r="C355" s="150" t="str">
        <f>'MAPA DE COTAÇÃO'!A218</f>
        <v>C051</v>
      </c>
      <c r="D355" s="81" t="str">
        <f>'MAPA DE COTAÇÃO'!B218</f>
        <v>CURVA HORIZONTAL 90° PARA CANALETA DE ALUMÍNIO 73X25MM</v>
      </c>
      <c r="E355" s="93" t="str">
        <f>'MAPA DE COTAÇÃO'!C218</f>
        <v>UN</v>
      </c>
      <c r="F355" s="53">
        <v>1</v>
      </c>
      <c r="G355" s="48">
        <f>'MAPA DE COTAÇÃO'!G218</f>
        <v>56.24</v>
      </c>
      <c r="H355" s="50">
        <f t="shared" ref="H355:H357" si="53">TRUNC(G355*F355,2)</f>
        <v>56.24</v>
      </c>
    </row>
    <row r="356" spans="1:8" x14ac:dyDescent="0.3">
      <c r="A356" s="95" t="s">
        <v>37</v>
      </c>
      <c r="B356" s="198" t="s">
        <v>23</v>
      </c>
      <c r="C356" s="149" t="s">
        <v>154</v>
      </c>
      <c r="D356" s="81" t="s">
        <v>61</v>
      </c>
      <c r="E356" s="93" t="s">
        <v>38</v>
      </c>
      <c r="F356" s="53">
        <v>0.4</v>
      </c>
      <c r="G356" s="48">
        <v>19.53</v>
      </c>
      <c r="H356" s="50">
        <f t="shared" si="53"/>
        <v>7.81</v>
      </c>
    </row>
    <row r="357" spans="1:8" x14ac:dyDescent="0.3">
      <c r="A357" s="95" t="s">
        <v>37</v>
      </c>
      <c r="B357" s="198" t="s">
        <v>23</v>
      </c>
      <c r="C357" s="149" t="s">
        <v>200</v>
      </c>
      <c r="D357" s="81" t="s">
        <v>84</v>
      </c>
      <c r="E357" s="93" t="s">
        <v>38</v>
      </c>
      <c r="F357" s="53">
        <v>0.4</v>
      </c>
      <c r="G357" s="48">
        <v>15.16</v>
      </c>
      <c r="H357" s="50">
        <f t="shared" si="53"/>
        <v>6.06</v>
      </c>
    </row>
    <row r="358" spans="1:8" x14ac:dyDescent="0.3">
      <c r="A358" s="326" t="s">
        <v>566</v>
      </c>
      <c r="B358" s="327"/>
      <c r="C358" s="327"/>
      <c r="D358" s="327"/>
      <c r="E358" s="327"/>
      <c r="F358" s="327"/>
      <c r="G358" s="327"/>
      <c r="H358" s="328"/>
    </row>
    <row r="359" spans="1:8" x14ac:dyDescent="0.3">
      <c r="A359" s="78"/>
      <c r="B359" s="79"/>
      <c r="C359" s="79"/>
      <c r="D359" s="79"/>
      <c r="E359" s="79"/>
      <c r="F359" s="79"/>
      <c r="G359" s="79"/>
      <c r="H359" s="80"/>
    </row>
    <row r="360" spans="1:8" ht="27.6" x14ac:dyDescent="0.3">
      <c r="A360" s="215" t="s">
        <v>346</v>
      </c>
      <c r="B360" s="204"/>
      <c r="C360" s="204"/>
      <c r="D360" s="135" t="s">
        <v>274</v>
      </c>
      <c r="E360" s="204" t="s">
        <v>13</v>
      </c>
      <c r="F360" s="329" t="s">
        <v>32</v>
      </c>
      <c r="G360" s="330"/>
      <c r="H360" s="207">
        <f>SUM(H361:H363)</f>
        <v>52.160000000000004</v>
      </c>
    </row>
    <row r="361" spans="1:8" x14ac:dyDescent="0.3">
      <c r="A361" s="95" t="s">
        <v>36</v>
      </c>
      <c r="B361" s="198" t="s">
        <v>69</v>
      </c>
      <c r="C361" s="150" t="str">
        <f>'MAPA DE COTAÇÃO'!A222</f>
        <v>C052</v>
      </c>
      <c r="D361" s="81" t="str">
        <f>'MAPA DE COTAÇÃO'!B222</f>
        <v>CURVA VERTICAL INTERNA  90° PARA CANALETA DE ALUMÍNIO 73X25MM</v>
      </c>
      <c r="E361" s="150" t="str">
        <f>'MAPA DE COTAÇÃO'!C222</f>
        <v>UN</v>
      </c>
      <c r="F361" s="53">
        <v>1</v>
      </c>
      <c r="G361" s="48">
        <f>'MAPA DE COTAÇÃO'!G222</f>
        <v>38.29</v>
      </c>
      <c r="H361" s="50">
        <f t="shared" ref="H361:H363" si="54">TRUNC(G361*F361,2)</f>
        <v>38.29</v>
      </c>
    </row>
    <row r="362" spans="1:8" x14ac:dyDescent="0.3">
      <c r="A362" s="95" t="s">
        <v>37</v>
      </c>
      <c r="B362" s="198" t="s">
        <v>23</v>
      </c>
      <c r="C362" s="149" t="s">
        <v>154</v>
      </c>
      <c r="D362" s="81" t="s">
        <v>61</v>
      </c>
      <c r="E362" s="93" t="s">
        <v>38</v>
      </c>
      <c r="F362" s="53">
        <v>0.4</v>
      </c>
      <c r="G362" s="48">
        <v>19.53</v>
      </c>
      <c r="H362" s="50">
        <f t="shared" si="54"/>
        <v>7.81</v>
      </c>
    </row>
    <row r="363" spans="1:8" x14ac:dyDescent="0.3">
      <c r="A363" s="95" t="s">
        <v>37</v>
      </c>
      <c r="B363" s="198" t="s">
        <v>23</v>
      </c>
      <c r="C363" s="149" t="s">
        <v>200</v>
      </c>
      <c r="D363" s="81" t="s">
        <v>84</v>
      </c>
      <c r="E363" s="93" t="s">
        <v>38</v>
      </c>
      <c r="F363" s="53">
        <v>0.4</v>
      </c>
      <c r="G363" s="48">
        <v>15.16</v>
      </c>
      <c r="H363" s="50">
        <f t="shared" si="54"/>
        <v>6.06</v>
      </c>
    </row>
    <row r="364" spans="1:8" x14ac:dyDescent="0.3">
      <c r="A364" s="326" t="s">
        <v>566</v>
      </c>
      <c r="B364" s="327"/>
      <c r="C364" s="327"/>
      <c r="D364" s="327"/>
      <c r="E364" s="327"/>
      <c r="F364" s="327"/>
      <c r="G364" s="327"/>
      <c r="H364" s="328"/>
    </row>
    <row r="365" spans="1:8" x14ac:dyDescent="0.3">
      <c r="A365" s="78"/>
      <c r="B365" s="79"/>
      <c r="C365" s="79"/>
      <c r="D365" s="79"/>
      <c r="E365" s="79"/>
      <c r="F365" s="79"/>
      <c r="G365" s="79"/>
      <c r="H365" s="80"/>
    </row>
    <row r="366" spans="1:8" ht="27.6" x14ac:dyDescent="0.3">
      <c r="A366" s="215" t="s">
        <v>347</v>
      </c>
      <c r="B366" s="204"/>
      <c r="C366" s="204"/>
      <c r="D366" s="135" t="s">
        <v>275</v>
      </c>
      <c r="E366" s="204" t="s">
        <v>13</v>
      </c>
      <c r="F366" s="329" t="s">
        <v>32</v>
      </c>
      <c r="G366" s="330"/>
      <c r="H366" s="207">
        <f>SUM(H367:H369)</f>
        <v>65.59</v>
      </c>
    </row>
    <row r="367" spans="1:8" x14ac:dyDescent="0.3">
      <c r="A367" s="95" t="s">
        <v>36</v>
      </c>
      <c r="B367" s="198" t="s">
        <v>69</v>
      </c>
      <c r="C367" s="150" t="str">
        <f>'MAPA DE COTAÇÃO'!A226</f>
        <v>C053</v>
      </c>
      <c r="D367" s="81" t="str">
        <f>'MAPA DE COTAÇÃO'!B226</f>
        <v>ADAPTADOR CANALETA DE ALUMÍNIO 73X25MM PARA ELETRODUTO</v>
      </c>
      <c r="E367" s="93" t="str">
        <f>'MAPA DE COTAÇÃO'!C226</f>
        <v>UN</v>
      </c>
      <c r="F367" s="53">
        <v>1</v>
      </c>
      <c r="G367" s="48">
        <f>'MAPA DE COTAÇÃO'!G226</f>
        <v>51.72</v>
      </c>
      <c r="H367" s="50">
        <f t="shared" ref="H367:H369" si="55">TRUNC(G367*F367,2)</f>
        <v>51.72</v>
      </c>
    </row>
    <row r="368" spans="1:8" x14ac:dyDescent="0.3">
      <c r="A368" s="95" t="s">
        <v>37</v>
      </c>
      <c r="B368" s="198" t="s">
        <v>23</v>
      </c>
      <c r="C368" s="149" t="s">
        <v>154</v>
      </c>
      <c r="D368" s="81" t="s">
        <v>61</v>
      </c>
      <c r="E368" s="93" t="s">
        <v>38</v>
      </c>
      <c r="F368" s="53">
        <v>0.4</v>
      </c>
      <c r="G368" s="48">
        <v>19.53</v>
      </c>
      <c r="H368" s="50">
        <f t="shared" si="55"/>
        <v>7.81</v>
      </c>
    </row>
    <row r="369" spans="1:8" x14ac:dyDescent="0.3">
      <c r="A369" s="95" t="s">
        <v>37</v>
      </c>
      <c r="B369" s="198" t="s">
        <v>23</v>
      </c>
      <c r="C369" s="149" t="s">
        <v>200</v>
      </c>
      <c r="D369" s="81" t="s">
        <v>84</v>
      </c>
      <c r="E369" s="93" t="s">
        <v>38</v>
      </c>
      <c r="F369" s="53">
        <v>0.4</v>
      </c>
      <c r="G369" s="48">
        <v>15.16</v>
      </c>
      <c r="H369" s="50">
        <f t="shared" si="55"/>
        <v>6.06</v>
      </c>
    </row>
    <row r="370" spans="1:8" x14ac:dyDescent="0.3">
      <c r="A370" s="326" t="s">
        <v>567</v>
      </c>
      <c r="B370" s="327"/>
      <c r="C370" s="327"/>
      <c r="D370" s="327"/>
      <c r="E370" s="327"/>
      <c r="F370" s="327"/>
      <c r="G370" s="327"/>
      <c r="H370" s="328"/>
    </row>
    <row r="371" spans="1:8" x14ac:dyDescent="0.3">
      <c r="A371" s="78"/>
      <c r="B371" s="79"/>
      <c r="C371" s="79"/>
      <c r="D371" s="79"/>
      <c r="E371" s="79"/>
      <c r="F371" s="79"/>
      <c r="G371" s="79"/>
      <c r="H371" s="80"/>
    </row>
    <row r="372" spans="1:8" ht="27.6" x14ac:dyDescent="0.3">
      <c r="A372" s="215" t="s">
        <v>348</v>
      </c>
      <c r="B372" s="204"/>
      <c r="C372" s="204"/>
      <c r="D372" s="135" t="s">
        <v>276</v>
      </c>
      <c r="E372" s="204" t="s">
        <v>13</v>
      </c>
      <c r="F372" s="329" t="s">
        <v>32</v>
      </c>
      <c r="G372" s="330"/>
      <c r="H372" s="207">
        <f>SUM(H373:H375)</f>
        <v>88.820000000000007</v>
      </c>
    </row>
    <row r="373" spans="1:8" x14ac:dyDescent="0.3">
      <c r="A373" s="95" t="s">
        <v>36</v>
      </c>
      <c r="B373" s="198" t="s">
        <v>69</v>
      </c>
      <c r="C373" s="150" t="str">
        <f>'MAPA DE COTAÇÃO'!A230</f>
        <v>C054</v>
      </c>
      <c r="D373" s="81" t="str">
        <f>'MAPA DE COTAÇÃO'!B230</f>
        <v>CAIXA DE DERIVAÇÃO PARA CANALETA 73X25MM</v>
      </c>
      <c r="E373" s="150" t="str">
        <f>'MAPA DE COTAÇÃO'!C234</f>
        <v>UN</v>
      </c>
      <c r="F373" s="53">
        <v>1</v>
      </c>
      <c r="G373" s="48">
        <f>'MAPA DE COTAÇÃO'!G230</f>
        <v>74.95</v>
      </c>
      <c r="H373" s="50">
        <f t="shared" ref="H373:H375" si="56">TRUNC(G373*F373,2)</f>
        <v>74.95</v>
      </c>
    </row>
    <row r="374" spans="1:8" x14ac:dyDescent="0.3">
      <c r="A374" s="95" t="s">
        <v>37</v>
      </c>
      <c r="B374" s="198" t="s">
        <v>23</v>
      </c>
      <c r="C374" s="149" t="s">
        <v>154</v>
      </c>
      <c r="D374" s="81" t="s">
        <v>61</v>
      </c>
      <c r="E374" s="93" t="s">
        <v>38</v>
      </c>
      <c r="F374" s="53">
        <v>0.4</v>
      </c>
      <c r="G374" s="48">
        <v>19.53</v>
      </c>
      <c r="H374" s="50">
        <f t="shared" si="56"/>
        <v>7.81</v>
      </c>
    </row>
    <row r="375" spans="1:8" x14ac:dyDescent="0.3">
      <c r="A375" s="95" t="s">
        <v>37</v>
      </c>
      <c r="B375" s="198" t="s">
        <v>23</v>
      </c>
      <c r="C375" s="149" t="s">
        <v>200</v>
      </c>
      <c r="D375" s="81" t="s">
        <v>84</v>
      </c>
      <c r="E375" s="93" t="s">
        <v>38</v>
      </c>
      <c r="F375" s="53">
        <v>0.4</v>
      </c>
      <c r="G375" s="48">
        <v>15.16</v>
      </c>
      <c r="H375" s="50">
        <f t="shared" si="56"/>
        <v>6.06</v>
      </c>
    </row>
    <row r="376" spans="1:8" x14ac:dyDescent="0.3">
      <c r="A376" s="326" t="s">
        <v>567</v>
      </c>
      <c r="B376" s="327"/>
      <c r="C376" s="327"/>
      <c r="D376" s="327"/>
      <c r="E376" s="327"/>
      <c r="F376" s="327"/>
      <c r="G376" s="327"/>
      <c r="H376" s="328"/>
    </row>
    <row r="377" spans="1:8" x14ac:dyDescent="0.3">
      <c r="A377" s="78"/>
      <c r="B377" s="79"/>
      <c r="C377" s="79"/>
      <c r="D377" s="79"/>
      <c r="E377" s="79"/>
      <c r="F377" s="79"/>
      <c r="G377" s="79"/>
      <c r="H377" s="80"/>
    </row>
    <row r="378" spans="1:8" x14ac:dyDescent="0.3">
      <c r="A378" s="215" t="s">
        <v>349</v>
      </c>
      <c r="B378" s="204"/>
      <c r="C378" s="204"/>
      <c r="D378" s="135" t="s">
        <v>534</v>
      </c>
      <c r="E378" s="204" t="s">
        <v>13</v>
      </c>
      <c r="F378" s="329" t="s">
        <v>32</v>
      </c>
      <c r="G378" s="330"/>
      <c r="H378" s="207">
        <f>SUM(H379:H381)</f>
        <v>9.629999999999999</v>
      </c>
    </row>
    <row r="379" spans="1:8" x14ac:dyDescent="0.3">
      <c r="A379" s="95" t="s">
        <v>36</v>
      </c>
      <c r="B379" s="198" t="s">
        <v>23</v>
      </c>
      <c r="C379" s="150">
        <v>39603</v>
      </c>
      <c r="D379" s="81" t="s">
        <v>535</v>
      </c>
      <c r="E379" s="150" t="s">
        <v>13</v>
      </c>
      <c r="F379" s="53">
        <v>1</v>
      </c>
      <c r="G379" s="48">
        <v>2.73</v>
      </c>
      <c r="H379" s="50">
        <f t="shared" ref="H379:H381" si="57">TRUNC(G379*F379,2)</f>
        <v>2.73</v>
      </c>
    </row>
    <row r="380" spans="1:8" x14ac:dyDescent="0.3">
      <c r="A380" s="95" t="s">
        <v>37</v>
      </c>
      <c r="B380" s="198" t="s">
        <v>23</v>
      </c>
      <c r="C380" s="149" t="s">
        <v>153</v>
      </c>
      <c r="D380" s="81" t="s">
        <v>60</v>
      </c>
      <c r="E380" s="93" t="s">
        <v>38</v>
      </c>
      <c r="F380" s="53" t="s">
        <v>277</v>
      </c>
      <c r="G380" s="48">
        <v>14</v>
      </c>
      <c r="H380" s="50">
        <f t="shared" si="57"/>
        <v>2.88</v>
      </c>
    </row>
    <row r="381" spans="1:8" x14ac:dyDescent="0.3">
      <c r="A381" s="95" t="s">
        <v>37</v>
      </c>
      <c r="B381" s="198" t="s">
        <v>23</v>
      </c>
      <c r="C381" s="149" t="s">
        <v>154</v>
      </c>
      <c r="D381" s="81" t="s">
        <v>61</v>
      </c>
      <c r="E381" s="93" t="s">
        <v>38</v>
      </c>
      <c r="F381" s="53" t="s">
        <v>277</v>
      </c>
      <c r="G381" s="48">
        <v>19.53</v>
      </c>
      <c r="H381" s="50">
        <f t="shared" si="57"/>
        <v>4.0199999999999996</v>
      </c>
    </row>
    <row r="382" spans="1:8" x14ac:dyDescent="0.3">
      <c r="A382" s="326" t="s">
        <v>568</v>
      </c>
      <c r="B382" s="327"/>
      <c r="C382" s="327"/>
      <c r="D382" s="327"/>
      <c r="E382" s="327"/>
      <c r="F382" s="327"/>
      <c r="G382" s="327"/>
      <c r="H382" s="328"/>
    </row>
    <row r="383" spans="1:8" x14ac:dyDescent="0.3">
      <c r="A383" s="78"/>
      <c r="B383" s="79"/>
      <c r="C383" s="79"/>
      <c r="D383" s="79"/>
      <c r="E383" s="79"/>
      <c r="F383" s="79"/>
      <c r="G383" s="79"/>
      <c r="H383" s="80"/>
    </row>
    <row r="384" spans="1:8" x14ac:dyDescent="0.3">
      <c r="A384" s="215" t="s">
        <v>350</v>
      </c>
      <c r="B384" s="204"/>
      <c r="C384" s="204"/>
      <c r="D384" s="135" t="s">
        <v>282</v>
      </c>
      <c r="E384" s="204" t="s">
        <v>13</v>
      </c>
      <c r="F384" s="329" t="s">
        <v>32</v>
      </c>
      <c r="G384" s="330"/>
      <c r="H384" s="207">
        <f>SUM(H385:H388)</f>
        <v>46.930000000000007</v>
      </c>
    </row>
    <row r="385" spans="1:8" x14ac:dyDescent="0.3">
      <c r="A385" s="95" t="s">
        <v>36</v>
      </c>
      <c r="B385" s="150" t="s">
        <v>69</v>
      </c>
      <c r="C385" s="150" t="str">
        <f>'MAPA DE COTAÇÃO'!A234</f>
        <v>C055</v>
      </c>
      <c r="D385" s="81" t="str">
        <f>'MAPA DE COTAÇÃO'!B234</f>
        <v>PLACA CEGA - PARA CAIXA DE EMBUTIR 4X2"</v>
      </c>
      <c r="E385" s="150" t="str">
        <f>'MAPA DE COTAÇÃO'!C234</f>
        <v>UN</v>
      </c>
      <c r="F385" s="53">
        <v>1</v>
      </c>
      <c r="G385" s="48">
        <f>'MAPA DE COTAÇÃO'!G234</f>
        <v>4.8600000000000003</v>
      </c>
      <c r="H385" s="50">
        <f t="shared" ref="H385:H388" si="58">TRUNC(G385*F385,2)</f>
        <v>4.8600000000000003</v>
      </c>
    </row>
    <row r="386" spans="1:8" ht="27.6" x14ac:dyDescent="0.3">
      <c r="A386" s="95" t="s">
        <v>37</v>
      </c>
      <c r="B386" s="219" t="s">
        <v>23</v>
      </c>
      <c r="C386" s="161">
        <v>95802</v>
      </c>
      <c r="D386" s="81" t="s">
        <v>574</v>
      </c>
      <c r="E386" s="152" t="s">
        <v>359</v>
      </c>
      <c r="F386" s="53">
        <v>1</v>
      </c>
      <c r="G386" s="48">
        <v>34.92</v>
      </c>
      <c r="H386" s="50">
        <f>TRUNC(G386*F386,2)</f>
        <v>34.92</v>
      </c>
    </row>
    <row r="387" spans="1:8" x14ac:dyDescent="0.3">
      <c r="A387" s="95" t="s">
        <v>37</v>
      </c>
      <c r="B387" s="198" t="s">
        <v>23</v>
      </c>
      <c r="C387" s="149" t="s">
        <v>153</v>
      </c>
      <c r="D387" s="81" t="s">
        <v>60</v>
      </c>
      <c r="E387" s="93" t="s">
        <v>38</v>
      </c>
      <c r="F387" s="53" t="s">
        <v>277</v>
      </c>
      <c r="G387" s="48">
        <v>15.19</v>
      </c>
      <c r="H387" s="50">
        <f t="shared" si="58"/>
        <v>3.13</v>
      </c>
    </row>
    <row r="388" spans="1:8" x14ac:dyDescent="0.3">
      <c r="A388" s="95" t="s">
        <v>37</v>
      </c>
      <c r="B388" s="198" t="s">
        <v>23</v>
      </c>
      <c r="C388" s="149" t="s">
        <v>154</v>
      </c>
      <c r="D388" s="81" t="s">
        <v>61</v>
      </c>
      <c r="E388" s="93" t="s">
        <v>38</v>
      </c>
      <c r="F388" s="53" t="s">
        <v>277</v>
      </c>
      <c r="G388" s="48">
        <v>19.53</v>
      </c>
      <c r="H388" s="50">
        <f t="shared" si="58"/>
        <v>4.0199999999999996</v>
      </c>
    </row>
    <row r="389" spans="1:8" x14ac:dyDescent="0.3">
      <c r="A389" s="326" t="s">
        <v>593</v>
      </c>
      <c r="B389" s="327"/>
      <c r="C389" s="327"/>
      <c r="D389" s="327"/>
      <c r="E389" s="327"/>
      <c r="F389" s="327"/>
      <c r="G389" s="327"/>
      <c r="H389" s="328"/>
    </row>
    <row r="390" spans="1:8" x14ac:dyDescent="0.3">
      <c r="A390" s="78"/>
      <c r="B390" s="79"/>
      <c r="C390" s="79"/>
      <c r="D390" s="79"/>
      <c r="E390" s="79"/>
      <c r="F390" s="79"/>
      <c r="G390" s="79"/>
      <c r="H390" s="80"/>
    </row>
    <row r="391" spans="1:8" ht="41.4" x14ac:dyDescent="0.3">
      <c r="A391" s="215" t="s">
        <v>351</v>
      </c>
      <c r="B391" s="220"/>
      <c r="C391" s="220"/>
      <c r="D391" s="135" t="s">
        <v>596</v>
      </c>
      <c r="E391" s="220" t="s">
        <v>13</v>
      </c>
      <c r="F391" s="329" t="s">
        <v>32</v>
      </c>
      <c r="G391" s="330"/>
      <c r="H391" s="221">
        <f>SUM(H392:H396)</f>
        <v>40.04</v>
      </c>
    </row>
    <row r="392" spans="1:8" ht="27.6" x14ac:dyDescent="0.3">
      <c r="A392" s="95" t="s">
        <v>36</v>
      </c>
      <c r="B392" s="219" t="s">
        <v>23</v>
      </c>
      <c r="C392" s="150">
        <v>2581</v>
      </c>
      <c r="D392" s="81" t="s">
        <v>571</v>
      </c>
      <c r="E392" s="152" t="s">
        <v>359</v>
      </c>
      <c r="F392" s="53">
        <v>1</v>
      </c>
      <c r="G392" s="48">
        <v>15.84</v>
      </c>
      <c r="H392" s="50">
        <f t="shared" ref="H392" si="59">TRUNC(G392*F392,2)</f>
        <v>15.84</v>
      </c>
    </row>
    <row r="393" spans="1:8" ht="27.6" x14ac:dyDescent="0.3">
      <c r="A393" s="95" t="s">
        <v>36</v>
      </c>
      <c r="B393" s="219" t="s">
        <v>23</v>
      </c>
      <c r="C393" s="161">
        <v>11950</v>
      </c>
      <c r="D393" s="81" t="s">
        <v>572</v>
      </c>
      <c r="E393" s="152" t="s">
        <v>359</v>
      </c>
      <c r="F393" s="53">
        <v>2</v>
      </c>
      <c r="G393" s="48">
        <v>0.2</v>
      </c>
      <c r="H393" s="50">
        <f>TRUNC(G393*F393,2)</f>
        <v>0.4</v>
      </c>
    </row>
    <row r="394" spans="1:8" x14ac:dyDescent="0.3">
      <c r="A394" s="95" t="s">
        <v>36</v>
      </c>
      <c r="B394" s="219" t="s">
        <v>23</v>
      </c>
      <c r="C394" s="161">
        <v>7543</v>
      </c>
      <c r="D394" s="81" t="s">
        <v>595</v>
      </c>
      <c r="E394" s="152" t="s">
        <v>359</v>
      </c>
      <c r="F394" s="53">
        <v>1</v>
      </c>
      <c r="G394" s="48">
        <v>5.12</v>
      </c>
      <c r="H394" s="50">
        <f>TRUNC(G394*F394,2)</f>
        <v>5.12</v>
      </c>
    </row>
    <row r="395" spans="1:8" ht="27.6" x14ac:dyDescent="0.3">
      <c r="A395" s="95" t="s">
        <v>37</v>
      </c>
      <c r="B395" s="219" t="s">
        <v>23</v>
      </c>
      <c r="C395" s="149" t="s">
        <v>153</v>
      </c>
      <c r="D395" s="81" t="s">
        <v>594</v>
      </c>
      <c r="E395" s="93" t="s">
        <v>38</v>
      </c>
      <c r="F395" s="53">
        <v>0.53849999999999998</v>
      </c>
      <c r="G395" s="48">
        <v>15.19</v>
      </c>
      <c r="H395" s="50">
        <f t="shared" ref="H395:H396" si="60">TRUNC(G395*F395,2)</f>
        <v>8.17</v>
      </c>
    </row>
    <row r="396" spans="1:8" x14ac:dyDescent="0.3">
      <c r="A396" s="95" t="s">
        <v>37</v>
      </c>
      <c r="B396" s="219" t="s">
        <v>23</v>
      </c>
      <c r="C396" s="149" t="s">
        <v>154</v>
      </c>
      <c r="D396" s="81" t="s">
        <v>61</v>
      </c>
      <c r="E396" s="93" t="s">
        <v>38</v>
      </c>
      <c r="F396" s="53">
        <v>0.53849999999999998</v>
      </c>
      <c r="G396" s="48">
        <v>19.53</v>
      </c>
      <c r="H396" s="50">
        <f t="shared" si="60"/>
        <v>10.51</v>
      </c>
    </row>
    <row r="397" spans="1:8" x14ac:dyDescent="0.3">
      <c r="A397" s="326" t="s">
        <v>570</v>
      </c>
      <c r="B397" s="327"/>
      <c r="C397" s="327"/>
      <c r="D397" s="327"/>
      <c r="E397" s="327"/>
      <c r="F397" s="327"/>
      <c r="G397" s="327"/>
      <c r="H397" s="328"/>
    </row>
    <row r="398" spans="1:8" x14ac:dyDescent="0.3">
      <c r="A398" s="78"/>
      <c r="B398" s="79"/>
      <c r="C398" s="79"/>
      <c r="D398" s="79"/>
      <c r="E398" s="79"/>
      <c r="F398" s="79"/>
      <c r="G398" s="79"/>
      <c r="H398" s="80"/>
    </row>
    <row r="399" spans="1:8" ht="27.6" x14ac:dyDescent="0.3">
      <c r="A399" s="215" t="s">
        <v>352</v>
      </c>
      <c r="B399" s="204"/>
      <c r="C399" s="204"/>
      <c r="D399" s="135" t="s">
        <v>533</v>
      </c>
      <c r="E399" s="204" t="s">
        <v>13</v>
      </c>
      <c r="F399" s="329" t="s">
        <v>32</v>
      </c>
      <c r="G399" s="330"/>
      <c r="H399" s="207">
        <f>SUM(H400:H404)</f>
        <v>39.700000000000003</v>
      </c>
    </row>
    <row r="400" spans="1:8" ht="13.95" customHeight="1" x14ac:dyDescent="0.3">
      <c r="A400" s="95" t="s">
        <v>36</v>
      </c>
      <c r="B400" s="198" t="s">
        <v>23</v>
      </c>
      <c r="C400" s="94">
        <v>1872</v>
      </c>
      <c r="D400" s="81" t="s">
        <v>532</v>
      </c>
      <c r="E400" s="152" t="s">
        <v>359</v>
      </c>
      <c r="F400" s="53">
        <v>1</v>
      </c>
      <c r="G400" s="48">
        <v>2.27</v>
      </c>
      <c r="H400" s="50">
        <f t="shared" ref="H400:H404" si="61">TRUNC(G400*F400,2)</f>
        <v>2.27</v>
      </c>
    </row>
    <row r="401" spans="1:8" x14ac:dyDescent="0.3">
      <c r="A401" s="95" t="s">
        <v>36</v>
      </c>
      <c r="B401" s="150" t="s">
        <v>69</v>
      </c>
      <c r="C401" s="150" t="str">
        <f>'MAPA DE COTAÇÃO'!A238</f>
        <v>C056</v>
      </c>
      <c r="D401" s="81" t="str">
        <f>'MAPA DE COTAÇÃO'!B238</f>
        <v>PLACA COM 1 MÓDULO - RJ45 - PARA CAIXA DE EMBUTIR 4X2"</v>
      </c>
      <c r="E401" s="150" t="str">
        <f>'MAPA DE COTAÇÃO'!C238</f>
        <v>UN</v>
      </c>
      <c r="F401" s="53">
        <v>1</v>
      </c>
      <c r="G401" s="48">
        <f>'MAPA DE COTAÇÃO'!G238</f>
        <v>6</v>
      </c>
      <c r="H401" s="50">
        <f t="shared" si="61"/>
        <v>6</v>
      </c>
    </row>
    <row r="402" spans="1:8" x14ac:dyDescent="0.3">
      <c r="A402" s="95" t="s">
        <v>36</v>
      </c>
      <c r="B402" s="198" t="s">
        <v>23</v>
      </c>
      <c r="C402" s="191">
        <v>39601</v>
      </c>
      <c r="D402" s="81" t="s">
        <v>361</v>
      </c>
      <c r="E402" s="191" t="s">
        <v>13</v>
      </c>
      <c r="F402" s="147">
        <v>1</v>
      </c>
      <c r="G402" s="96">
        <v>24.28</v>
      </c>
      <c r="H402" s="50">
        <f t="shared" si="61"/>
        <v>24.28</v>
      </c>
    </row>
    <row r="403" spans="1:8" x14ac:dyDescent="0.3">
      <c r="A403" s="95" t="s">
        <v>37</v>
      </c>
      <c r="B403" s="198" t="s">
        <v>23</v>
      </c>
      <c r="C403" s="149" t="s">
        <v>153</v>
      </c>
      <c r="D403" s="81" t="s">
        <v>60</v>
      </c>
      <c r="E403" s="93" t="s">
        <v>38</v>
      </c>
      <c r="F403" s="53" t="s">
        <v>277</v>
      </c>
      <c r="G403" s="48">
        <v>15.19</v>
      </c>
      <c r="H403" s="50">
        <f t="shared" si="61"/>
        <v>3.13</v>
      </c>
    </row>
    <row r="404" spans="1:8" x14ac:dyDescent="0.3">
      <c r="A404" s="95" t="s">
        <v>37</v>
      </c>
      <c r="B404" s="198" t="s">
        <v>23</v>
      </c>
      <c r="C404" s="149" t="s">
        <v>154</v>
      </c>
      <c r="D404" s="81" t="s">
        <v>61</v>
      </c>
      <c r="E404" s="93" t="s">
        <v>38</v>
      </c>
      <c r="F404" s="53" t="s">
        <v>277</v>
      </c>
      <c r="G404" s="48">
        <v>19.53</v>
      </c>
      <c r="H404" s="50">
        <f t="shared" si="61"/>
        <v>4.0199999999999996</v>
      </c>
    </row>
    <row r="405" spans="1:8" x14ac:dyDescent="0.3">
      <c r="A405" s="326" t="s">
        <v>568</v>
      </c>
      <c r="B405" s="327"/>
      <c r="C405" s="327"/>
      <c r="D405" s="327"/>
      <c r="E405" s="327"/>
      <c r="F405" s="327"/>
      <c r="G405" s="327"/>
      <c r="H405" s="328"/>
    </row>
    <row r="406" spans="1:8" x14ac:dyDescent="0.3">
      <c r="A406" s="78"/>
      <c r="B406" s="79"/>
      <c r="C406" s="79"/>
      <c r="D406" s="79"/>
      <c r="E406" s="79"/>
      <c r="F406" s="79"/>
      <c r="G406" s="79"/>
      <c r="H406" s="80"/>
    </row>
    <row r="407" spans="1:8" ht="27.6" x14ac:dyDescent="0.3">
      <c r="A407" s="215" t="s">
        <v>353</v>
      </c>
      <c r="B407" s="220"/>
      <c r="C407" s="220"/>
      <c r="D407" s="135" t="s">
        <v>592</v>
      </c>
      <c r="E407" s="220" t="s">
        <v>13</v>
      </c>
      <c r="F407" s="329" t="s">
        <v>32</v>
      </c>
      <c r="G407" s="330"/>
      <c r="H407" s="221">
        <f>SUM(H408:H412)</f>
        <v>72.349999999999994</v>
      </c>
    </row>
    <row r="408" spans="1:8" x14ac:dyDescent="0.3">
      <c r="A408" s="95" t="s">
        <v>36</v>
      </c>
      <c r="B408" s="150" t="s">
        <v>69</v>
      </c>
      <c r="C408" s="150" t="str">
        <f>'MAPA DE COTAÇÃO'!A238</f>
        <v>C056</v>
      </c>
      <c r="D408" s="81" t="str">
        <f>'MAPA DE COTAÇÃO'!B238</f>
        <v>PLACA COM 1 MÓDULO - RJ45 - PARA CAIXA DE EMBUTIR 4X2"</v>
      </c>
      <c r="E408" s="150" t="str">
        <f>'MAPA DE COTAÇÃO'!C246</f>
        <v>UN</v>
      </c>
      <c r="F408" s="53">
        <v>1</v>
      </c>
      <c r="G408" s="48">
        <f>'MAPA DE COTAÇÃO'!G238</f>
        <v>6</v>
      </c>
      <c r="H408" s="50">
        <f t="shared" ref="H408:H412" si="62">TRUNC(G408*F408,2)</f>
        <v>6</v>
      </c>
    </row>
    <row r="409" spans="1:8" x14ac:dyDescent="0.3">
      <c r="A409" s="95" t="s">
        <v>36</v>
      </c>
      <c r="B409" s="219" t="s">
        <v>23</v>
      </c>
      <c r="C409" s="191">
        <v>39601</v>
      </c>
      <c r="D409" s="81" t="s">
        <v>361</v>
      </c>
      <c r="E409" s="191" t="s">
        <v>13</v>
      </c>
      <c r="F409" s="147">
        <v>1</v>
      </c>
      <c r="G409" s="96">
        <v>24.28</v>
      </c>
      <c r="H409" s="50">
        <f t="shared" si="62"/>
        <v>24.28</v>
      </c>
    </row>
    <row r="410" spans="1:8" ht="27.6" x14ac:dyDescent="0.3">
      <c r="A410" s="95" t="s">
        <v>37</v>
      </c>
      <c r="B410" s="219" t="s">
        <v>23</v>
      </c>
      <c r="C410" s="161">
        <v>95802</v>
      </c>
      <c r="D410" s="81" t="s">
        <v>574</v>
      </c>
      <c r="E410" s="152" t="s">
        <v>359</v>
      </c>
      <c r="F410" s="53">
        <v>1</v>
      </c>
      <c r="G410" s="48">
        <v>34.92</v>
      </c>
      <c r="H410" s="50">
        <f>TRUNC(G410*F410,2)</f>
        <v>34.92</v>
      </c>
    </row>
    <row r="411" spans="1:8" x14ac:dyDescent="0.3">
      <c r="A411" s="95" t="s">
        <v>37</v>
      </c>
      <c r="B411" s="219" t="s">
        <v>23</v>
      </c>
      <c r="C411" s="149" t="s">
        <v>153</v>
      </c>
      <c r="D411" s="81" t="s">
        <v>60</v>
      </c>
      <c r="E411" s="93" t="s">
        <v>38</v>
      </c>
      <c r="F411" s="53" t="s">
        <v>277</v>
      </c>
      <c r="G411" s="48">
        <v>15.19</v>
      </c>
      <c r="H411" s="50">
        <f t="shared" si="62"/>
        <v>3.13</v>
      </c>
    </row>
    <row r="412" spans="1:8" x14ac:dyDescent="0.3">
      <c r="A412" s="95" t="s">
        <v>37</v>
      </c>
      <c r="B412" s="219" t="s">
        <v>23</v>
      </c>
      <c r="C412" s="149" t="s">
        <v>154</v>
      </c>
      <c r="D412" s="81" t="s">
        <v>61</v>
      </c>
      <c r="E412" s="93" t="s">
        <v>38</v>
      </c>
      <c r="F412" s="53" t="s">
        <v>277</v>
      </c>
      <c r="G412" s="48">
        <v>19.53</v>
      </c>
      <c r="H412" s="50">
        <f t="shared" si="62"/>
        <v>4.0199999999999996</v>
      </c>
    </row>
    <row r="413" spans="1:8" x14ac:dyDescent="0.3">
      <c r="A413" s="326" t="s">
        <v>568</v>
      </c>
      <c r="B413" s="327"/>
      <c r="C413" s="327"/>
      <c r="D413" s="327"/>
      <c r="E413" s="327"/>
      <c r="F413" s="327"/>
      <c r="G413" s="327"/>
      <c r="H413" s="328"/>
    </row>
    <row r="414" spans="1:8" x14ac:dyDescent="0.3">
      <c r="A414" s="78"/>
      <c r="B414" s="79"/>
      <c r="C414" s="79"/>
      <c r="D414" s="79"/>
      <c r="E414" s="79"/>
      <c r="F414" s="79"/>
      <c r="G414" s="79"/>
      <c r="H414" s="80"/>
    </row>
    <row r="415" spans="1:8" ht="27.6" x14ac:dyDescent="0.3">
      <c r="A415" s="215" t="s">
        <v>354</v>
      </c>
      <c r="B415" s="204"/>
      <c r="C415" s="204"/>
      <c r="D415" s="135" t="s">
        <v>283</v>
      </c>
      <c r="E415" s="204" t="s">
        <v>13</v>
      </c>
      <c r="F415" s="329" t="s">
        <v>32</v>
      </c>
      <c r="G415" s="330"/>
      <c r="H415" s="207">
        <f>SUM(H416:H419)</f>
        <v>37.06</v>
      </c>
    </row>
    <row r="416" spans="1:8" ht="27.6" x14ac:dyDescent="0.3">
      <c r="A416" s="95" t="s">
        <v>36</v>
      </c>
      <c r="B416" s="150" t="s">
        <v>69</v>
      </c>
      <c r="C416" s="150" t="str">
        <f>'MAPA DE COTAÇÃO'!A242</f>
        <v>C057</v>
      </c>
      <c r="D416" s="81" t="str">
        <f>'MAPA DE COTAÇÃO'!B242</f>
        <v>PLACA COM 1 MÓDULO - RJ45 - PARA PORTA EQUIPAMENTO DA CANALETA DE ALUMÍNIO</v>
      </c>
      <c r="E416" s="150" t="str">
        <f>'MAPA DE COTAÇÃO'!C242</f>
        <v>UN</v>
      </c>
      <c r="F416" s="53">
        <v>1</v>
      </c>
      <c r="G416" s="48">
        <f>'MAPA DE COTAÇÃO'!G242</f>
        <v>5.63</v>
      </c>
      <c r="H416" s="50">
        <f t="shared" ref="H416:H419" si="63">TRUNC(G416*F416,2)</f>
        <v>5.63</v>
      </c>
    </row>
    <row r="417" spans="1:8" x14ac:dyDescent="0.3">
      <c r="A417" s="95" t="s">
        <v>36</v>
      </c>
      <c r="B417" s="198" t="s">
        <v>23</v>
      </c>
      <c r="C417" s="191">
        <v>39601</v>
      </c>
      <c r="D417" s="81" t="s">
        <v>361</v>
      </c>
      <c r="E417" s="191" t="s">
        <v>13</v>
      </c>
      <c r="F417" s="147">
        <v>1</v>
      </c>
      <c r="G417" s="96">
        <v>24.28</v>
      </c>
      <c r="H417" s="50">
        <f t="shared" si="63"/>
        <v>24.28</v>
      </c>
    </row>
    <row r="418" spans="1:8" x14ac:dyDescent="0.3">
      <c r="A418" s="95" t="s">
        <v>37</v>
      </c>
      <c r="B418" s="198" t="s">
        <v>23</v>
      </c>
      <c r="C418" s="149" t="s">
        <v>153</v>
      </c>
      <c r="D418" s="81" t="s">
        <v>60</v>
      </c>
      <c r="E418" s="93" t="s">
        <v>38</v>
      </c>
      <c r="F418" s="53" t="s">
        <v>277</v>
      </c>
      <c r="G418" s="48">
        <v>15.19</v>
      </c>
      <c r="H418" s="50">
        <f t="shared" si="63"/>
        <v>3.13</v>
      </c>
    </row>
    <row r="419" spans="1:8" x14ac:dyDescent="0.3">
      <c r="A419" s="95" t="s">
        <v>37</v>
      </c>
      <c r="B419" s="198" t="s">
        <v>23</v>
      </c>
      <c r="C419" s="149" t="s">
        <v>154</v>
      </c>
      <c r="D419" s="81" t="s">
        <v>61</v>
      </c>
      <c r="E419" s="93" t="s">
        <v>38</v>
      </c>
      <c r="F419" s="53" t="s">
        <v>277</v>
      </c>
      <c r="G419" s="48">
        <v>19.53</v>
      </c>
      <c r="H419" s="50">
        <f t="shared" si="63"/>
        <v>4.0199999999999996</v>
      </c>
    </row>
    <row r="420" spans="1:8" x14ac:dyDescent="0.3">
      <c r="A420" s="326" t="s">
        <v>568</v>
      </c>
      <c r="B420" s="327"/>
      <c r="C420" s="327"/>
      <c r="D420" s="327"/>
      <c r="E420" s="327"/>
      <c r="F420" s="327"/>
      <c r="G420" s="327"/>
      <c r="H420" s="328"/>
    </row>
    <row r="421" spans="1:8" x14ac:dyDescent="0.3">
      <c r="A421" s="78"/>
      <c r="B421" s="79"/>
      <c r="C421" s="79"/>
      <c r="D421" s="79"/>
      <c r="E421" s="79"/>
      <c r="F421" s="79"/>
      <c r="G421" s="79"/>
      <c r="H421" s="80"/>
    </row>
    <row r="422" spans="1:8" ht="27.6" x14ac:dyDescent="0.3">
      <c r="A422" s="215" t="s">
        <v>598</v>
      </c>
      <c r="B422" s="204"/>
      <c r="C422" s="204"/>
      <c r="D422" s="135" t="s">
        <v>284</v>
      </c>
      <c r="E422" s="204" t="s">
        <v>13</v>
      </c>
      <c r="F422" s="329" t="s">
        <v>32</v>
      </c>
      <c r="G422" s="330"/>
      <c r="H422" s="207">
        <f>SUM(H423:H426)</f>
        <v>61.230000000000004</v>
      </c>
    </row>
    <row r="423" spans="1:8" ht="27.6" x14ac:dyDescent="0.3">
      <c r="A423" s="95" t="s">
        <v>36</v>
      </c>
      <c r="B423" s="150" t="s">
        <v>69</v>
      </c>
      <c r="C423" s="150" t="str">
        <f>'MAPA DE COTAÇÃO'!A246</f>
        <v>C058</v>
      </c>
      <c r="D423" s="81" t="str">
        <f>'MAPA DE COTAÇÃO'!B246</f>
        <v>PLACA COM 2 MÓDULOS - RJ45 - PARA PORTA EQUIPAMENTO DA CANALETA DE ALUMÍNIO</v>
      </c>
      <c r="E423" s="150" t="str">
        <f>'MAPA DE COTAÇÃO'!C246</f>
        <v>UN</v>
      </c>
      <c r="F423" s="53">
        <v>1</v>
      </c>
      <c r="G423" s="48">
        <f>'MAPA DE COTAÇÃO'!G246</f>
        <v>5.52</v>
      </c>
      <c r="H423" s="50">
        <f t="shared" ref="H423:H426" si="64">TRUNC(G423*F423,2)</f>
        <v>5.52</v>
      </c>
    </row>
    <row r="424" spans="1:8" x14ac:dyDescent="0.3">
      <c r="A424" s="95" t="s">
        <v>36</v>
      </c>
      <c r="B424" s="198" t="s">
        <v>23</v>
      </c>
      <c r="C424" s="191">
        <v>39601</v>
      </c>
      <c r="D424" s="81" t="s">
        <v>361</v>
      </c>
      <c r="E424" s="191" t="s">
        <v>13</v>
      </c>
      <c r="F424" s="147">
        <v>2</v>
      </c>
      <c r="G424" s="96">
        <v>24.28</v>
      </c>
      <c r="H424" s="50">
        <f t="shared" si="64"/>
        <v>48.56</v>
      </c>
    </row>
    <row r="425" spans="1:8" x14ac:dyDescent="0.3">
      <c r="A425" s="95" t="s">
        <v>37</v>
      </c>
      <c r="B425" s="198" t="s">
        <v>23</v>
      </c>
      <c r="C425" s="149" t="s">
        <v>153</v>
      </c>
      <c r="D425" s="81" t="s">
        <v>60</v>
      </c>
      <c r="E425" s="93" t="s">
        <v>38</v>
      </c>
      <c r="F425" s="53" t="s">
        <v>277</v>
      </c>
      <c r="G425" s="48">
        <v>15.19</v>
      </c>
      <c r="H425" s="50">
        <f t="shared" si="64"/>
        <v>3.13</v>
      </c>
    </row>
    <row r="426" spans="1:8" x14ac:dyDescent="0.3">
      <c r="A426" s="95" t="s">
        <v>37</v>
      </c>
      <c r="B426" s="198" t="s">
        <v>23</v>
      </c>
      <c r="C426" s="149" t="s">
        <v>154</v>
      </c>
      <c r="D426" s="81" t="s">
        <v>61</v>
      </c>
      <c r="E426" s="93" t="s">
        <v>38</v>
      </c>
      <c r="F426" s="53" t="s">
        <v>277</v>
      </c>
      <c r="G426" s="48">
        <v>19.53</v>
      </c>
      <c r="H426" s="50">
        <f t="shared" si="64"/>
        <v>4.0199999999999996</v>
      </c>
    </row>
    <row r="427" spans="1:8" x14ac:dyDescent="0.3">
      <c r="A427" s="326" t="s">
        <v>568</v>
      </c>
      <c r="B427" s="327"/>
      <c r="C427" s="327"/>
      <c r="D427" s="327"/>
      <c r="E427" s="327"/>
      <c r="F427" s="327"/>
      <c r="G427" s="327"/>
      <c r="H427" s="328"/>
    </row>
    <row r="428" spans="1:8" x14ac:dyDescent="0.3">
      <c r="A428" s="78"/>
      <c r="B428" s="79"/>
      <c r="C428" s="79"/>
      <c r="D428" s="79"/>
      <c r="E428" s="79"/>
      <c r="F428" s="79"/>
      <c r="G428" s="79"/>
      <c r="H428" s="80"/>
    </row>
    <row r="429" spans="1:8" ht="27.6" x14ac:dyDescent="0.3">
      <c r="A429" s="205" t="s">
        <v>599</v>
      </c>
      <c r="B429" s="204"/>
      <c r="C429" s="204"/>
      <c r="D429" s="135" t="s">
        <v>285</v>
      </c>
      <c r="E429" s="204" t="s">
        <v>13</v>
      </c>
      <c r="F429" s="329" t="s">
        <v>32</v>
      </c>
      <c r="G429" s="330"/>
      <c r="H429" s="207">
        <f>SUM(H430:H433)</f>
        <v>41.510000000000005</v>
      </c>
    </row>
    <row r="430" spans="1:8" x14ac:dyDescent="0.3">
      <c r="A430" s="95" t="s">
        <v>36</v>
      </c>
      <c r="B430" s="198" t="s">
        <v>23</v>
      </c>
      <c r="C430" s="150" t="str">
        <f>'MAPA DE COTAÇÃO'!A250</f>
        <v>C059</v>
      </c>
      <c r="D430" s="81" t="str">
        <f>'MAPA DE COTAÇÃO'!B250</f>
        <v>PORTA EQUIPAMENTOS P/ 3 RJ45 - PARA CANALETA DE ALUMÍNIO</v>
      </c>
      <c r="E430" s="150" t="str">
        <f>'MAPA DE COTAÇÃO'!C250</f>
        <v>UN</v>
      </c>
      <c r="F430" s="53">
        <v>1</v>
      </c>
      <c r="G430" s="48">
        <f>'MAPA DE COTAÇÃO'!G250</f>
        <v>24.01</v>
      </c>
      <c r="H430" s="50">
        <f t="shared" ref="H430:H433" si="65">TRUNC(G430*F430,2)</f>
        <v>24.01</v>
      </c>
    </row>
    <row r="431" spans="1:8" x14ac:dyDescent="0.3">
      <c r="A431" s="95" t="s">
        <v>36</v>
      </c>
      <c r="B431" s="198" t="s">
        <v>23</v>
      </c>
      <c r="C431" s="150" t="str">
        <f>'MAPA DE COTAÇÃO'!A254</f>
        <v>C060</v>
      </c>
      <c r="D431" s="81" t="str">
        <f>'MAPA DE COTAÇÃO'!B254</f>
        <v>MOLDURA TIPO BLOCO P/ RJ45</v>
      </c>
      <c r="E431" s="150" t="str">
        <f>'MAPA DE COTAÇÃO'!C254</f>
        <v>UN</v>
      </c>
      <c r="F431" s="53">
        <v>3</v>
      </c>
      <c r="G431" s="48">
        <f>'MAPA DE COTAÇÃO'!G254</f>
        <v>3.45</v>
      </c>
      <c r="H431" s="50">
        <f t="shared" si="65"/>
        <v>10.35</v>
      </c>
    </row>
    <row r="432" spans="1:8" x14ac:dyDescent="0.3">
      <c r="A432" s="95" t="s">
        <v>37</v>
      </c>
      <c r="B432" s="198" t="s">
        <v>23</v>
      </c>
      <c r="C432" s="149" t="s">
        <v>153</v>
      </c>
      <c r="D432" s="81" t="s">
        <v>60</v>
      </c>
      <c r="E432" s="93" t="s">
        <v>38</v>
      </c>
      <c r="F432" s="53" t="s">
        <v>277</v>
      </c>
      <c r="G432" s="48">
        <v>15.19</v>
      </c>
      <c r="H432" s="50">
        <f t="shared" si="65"/>
        <v>3.13</v>
      </c>
    </row>
    <row r="433" spans="1:8" x14ac:dyDescent="0.3">
      <c r="A433" s="95" t="s">
        <v>37</v>
      </c>
      <c r="B433" s="198" t="s">
        <v>23</v>
      </c>
      <c r="C433" s="149" t="s">
        <v>154</v>
      </c>
      <c r="D433" s="81" t="s">
        <v>61</v>
      </c>
      <c r="E433" s="93" t="s">
        <v>38</v>
      </c>
      <c r="F433" s="53" t="s">
        <v>277</v>
      </c>
      <c r="G433" s="48">
        <v>19.53</v>
      </c>
      <c r="H433" s="50">
        <f t="shared" si="65"/>
        <v>4.0199999999999996</v>
      </c>
    </row>
    <row r="434" spans="1:8" x14ac:dyDescent="0.3">
      <c r="A434" s="326" t="s">
        <v>568</v>
      </c>
      <c r="B434" s="327"/>
      <c r="C434" s="327"/>
      <c r="D434" s="327"/>
      <c r="E434" s="327"/>
      <c r="F434" s="327"/>
      <c r="G434" s="327"/>
      <c r="H434" s="328"/>
    </row>
    <row r="435" spans="1:8" x14ac:dyDescent="0.3">
      <c r="A435" s="78"/>
      <c r="B435" s="79"/>
      <c r="C435" s="79"/>
      <c r="D435" s="79"/>
      <c r="E435" s="79"/>
      <c r="F435" s="79"/>
      <c r="G435" s="79"/>
      <c r="H435" s="80"/>
    </row>
    <row r="436" spans="1:8" ht="27.6" x14ac:dyDescent="0.3">
      <c r="A436" s="205" t="s">
        <v>600</v>
      </c>
      <c r="B436" s="204"/>
      <c r="C436" s="204"/>
      <c r="D436" s="2" t="s">
        <v>569</v>
      </c>
      <c r="E436" s="204" t="s">
        <v>13</v>
      </c>
      <c r="F436" s="317" t="s">
        <v>32</v>
      </c>
      <c r="G436" s="317"/>
      <c r="H436" s="207">
        <f>SUM(H437:H437)</f>
        <v>54.94</v>
      </c>
    </row>
    <row r="437" spans="1:8" x14ac:dyDescent="0.3">
      <c r="A437" s="95" t="s">
        <v>77</v>
      </c>
      <c r="B437" s="198" t="s">
        <v>23</v>
      </c>
      <c r="C437" s="149" t="s">
        <v>331</v>
      </c>
      <c r="D437" s="81" t="s">
        <v>106</v>
      </c>
      <c r="E437" s="93" t="s">
        <v>38</v>
      </c>
      <c r="F437" s="147">
        <v>0.7</v>
      </c>
      <c r="G437" s="48">
        <v>78.489999999999995</v>
      </c>
      <c r="H437" s="50">
        <f t="shared" ref="H437" si="66">TRUNC(G437*F437,2)</f>
        <v>54.94</v>
      </c>
    </row>
    <row r="438" spans="1:8" x14ac:dyDescent="0.3">
      <c r="A438" s="326" t="s">
        <v>76</v>
      </c>
      <c r="B438" s="327"/>
      <c r="C438" s="327"/>
      <c r="D438" s="327"/>
      <c r="E438" s="327"/>
      <c r="F438" s="327"/>
      <c r="G438" s="327"/>
      <c r="H438" s="328"/>
    </row>
    <row r="439" spans="1:8" x14ac:dyDescent="0.3">
      <c r="A439" s="78"/>
      <c r="B439" s="79"/>
      <c r="C439" s="79"/>
      <c r="D439" s="79"/>
      <c r="E439" s="79"/>
      <c r="F439" s="79"/>
      <c r="G439" s="79"/>
      <c r="H439" s="80"/>
    </row>
    <row r="440" spans="1:8" x14ac:dyDescent="0.3">
      <c r="A440" s="205" t="s">
        <v>608</v>
      </c>
      <c r="B440" s="204"/>
      <c r="C440" s="204"/>
      <c r="D440" s="2" t="s">
        <v>454</v>
      </c>
      <c r="E440" s="204" t="s">
        <v>13</v>
      </c>
      <c r="F440" s="317" t="s">
        <v>32</v>
      </c>
      <c r="G440" s="317"/>
      <c r="H440" s="207">
        <f>SUM(H441:H441)</f>
        <v>47.09</v>
      </c>
    </row>
    <row r="441" spans="1:8" x14ac:dyDescent="0.3">
      <c r="A441" s="95" t="s">
        <v>77</v>
      </c>
      <c r="B441" s="198" t="s">
        <v>23</v>
      </c>
      <c r="C441" s="149" t="s">
        <v>331</v>
      </c>
      <c r="D441" s="81" t="s">
        <v>106</v>
      </c>
      <c r="E441" s="93" t="s">
        <v>38</v>
      </c>
      <c r="F441" s="147">
        <v>0.6</v>
      </c>
      <c r="G441" s="48">
        <v>78.489999999999995</v>
      </c>
      <c r="H441" s="50">
        <f t="shared" ref="H441" si="67">TRUNC(G441*F441,2)</f>
        <v>47.09</v>
      </c>
    </row>
    <row r="442" spans="1:8" ht="14.4" thickBot="1" x14ac:dyDescent="0.35">
      <c r="A442" s="344" t="s">
        <v>76</v>
      </c>
      <c r="B442" s="345"/>
      <c r="C442" s="345"/>
      <c r="D442" s="345"/>
      <c r="E442" s="345"/>
      <c r="F442" s="345"/>
      <c r="G442" s="345"/>
      <c r="H442" s="346"/>
    </row>
  </sheetData>
  <mergeCells count="147">
    <mergeCell ref="F149:G149"/>
    <mergeCell ref="A153:H153"/>
    <mergeCell ref="F155:G155"/>
    <mergeCell ref="A159:H159"/>
    <mergeCell ref="F161:G161"/>
    <mergeCell ref="A165:H165"/>
    <mergeCell ref="F407:G407"/>
    <mergeCell ref="F391:G391"/>
    <mergeCell ref="A397:H397"/>
    <mergeCell ref="F328:G328"/>
    <mergeCell ref="A332:H332"/>
    <mergeCell ref="F334:G334"/>
    <mergeCell ref="A338:H338"/>
    <mergeCell ref="F340:G340"/>
    <mergeCell ref="A344:H344"/>
    <mergeCell ref="F346:G346"/>
    <mergeCell ref="A352:H352"/>
    <mergeCell ref="F354:G354"/>
    <mergeCell ref="A358:H358"/>
    <mergeCell ref="F322:G322"/>
    <mergeCell ref="A326:H326"/>
    <mergeCell ref="A230:H230"/>
    <mergeCell ref="F232:G232"/>
    <mergeCell ref="A442:H442"/>
    <mergeCell ref="F360:G360"/>
    <mergeCell ref="A364:H364"/>
    <mergeCell ref="F366:G366"/>
    <mergeCell ref="A370:H370"/>
    <mergeCell ref="F372:G372"/>
    <mergeCell ref="A376:H376"/>
    <mergeCell ref="F378:G378"/>
    <mergeCell ref="A382:H382"/>
    <mergeCell ref="F436:G436"/>
    <mergeCell ref="F422:G422"/>
    <mergeCell ref="A427:H427"/>
    <mergeCell ref="F429:G429"/>
    <mergeCell ref="A434:H434"/>
    <mergeCell ref="F384:G384"/>
    <mergeCell ref="A389:H389"/>
    <mergeCell ref="F399:G399"/>
    <mergeCell ref="A405:H405"/>
    <mergeCell ref="F415:G415"/>
    <mergeCell ref="A420:H420"/>
    <mergeCell ref="A413:H413"/>
    <mergeCell ref="A438:H438"/>
    <mergeCell ref="F440:G440"/>
    <mergeCell ref="F54:G54"/>
    <mergeCell ref="F19:G19"/>
    <mergeCell ref="A27:H27"/>
    <mergeCell ref="F40:G40"/>
    <mergeCell ref="A45:H45"/>
    <mergeCell ref="A38:H38"/>
    <mergeCell ref="F47:G47"/>
    <mergeCell ref="F60:G60"/>
    <mergeCell ref="F78:G78"/>
    <mergeCell ref="A58:H58"/>
    <mergeCell ref="F84:G84"/>
    <mergeCell ref="F33:G33"/>
    <mergeCell ref="F29:G29"/>
    <mergeCell ref="A31:H31"/>
    <mergeCell ref="B9:D9"/>
    <mergeCell ref="B11:C11"/>
    <mergeCell ref="A14:H14"/>
    <mergeCell ref="A16:A17"/>
    <mergeCell ref="B16:B17"/>
    <mergeCell ref="C16:C17"/>
    <mergeCell ref="D16:D17"/>
    <mergeCell ref="E16:E17"/>
    <mergeCell ref="F16:F17"/>
    <mergeCell ref="B10:D10"/>
    <mergeCell ref="G16:G17"/>
    <mergeCell ref="H16:H17"/>
    <mergeCell ref="B12:D13"/>
    <mergeCell ref="A82:H82"/>
    <mergeCell ref="A64:H64"/>
    <mergeCell ref="A52:H52"/>
    <mergeCell ref="F66:G66"/>
    <mergeCell ref="A70:H70"/>
    <mergeCell ref="F72:G72"/>
    <mergeCell ref="A76:H76"/>
    <mergeCell ref="F238:G238"/>
    <mergeCell ref="A242:H242"/>
    <mergeCell ref="F220:G220"/>
    <mergeCell ref="A224:H224"/>
    <mergeCell ref="F310:G310"/>
    <mergeCell ref="A308:H308"/>
    <mergeCell ref="A252:H252"/>
    <mergeCell ref="F274:G274"/>
    <mergeCell ref="A278:H278"/>
    <mergeCell ref="F280:G280"/>
    <mergeCell ref="A284:H284"/>
    <mergeCell ref="F264:G264"/>
    <mergeCell ref="A272:H272"/>
    <mergeCell ref="F304:G304"/>
    <mergeCell ref="F286:G286"/>
    <mergeCell ref="A290:H290"/>
    <mergeCell ref="F292:G292"/>
    <mergeCell ref="A296:H296"/>
    <mergeCell ref="F298:G298"/>
    <mergeCell ref="A302:H302"/>
    <mergeCell ref="F254:G254"/>
    <mergeCell ref="A262:H262"/>
    <mergeCell ref="F226:G226"/>
    <mergeCell ref="A236:H236"/>
    <mergeCell ref="F190:G190"/>
    <mergeCell ref="A194:H194"/>
    <mergeCell ref="F214:G214"/>
    <mergeCell ref="A218:H218"/>
    <mergeCell ref="F196:G196"/>
    <mergeCell ref="A200:H200"/>
    <mergeCell ref="A182:H182"/>
    <mergeCell ref="F208:G208"/>
    <mergeCell ref="A212:H212"/>
    <mergeCell ref="F106:G106"/>
    <mergeCell ref="A109:H109"/>
    <mergeCell ref="F111:G111"/>
    <mergeCell ref="A88:H88"/>
    <mergeCell ref="F96:G96"/>
    <mergeCell ref="A99:H99"/>
    <mergeCell ref="F90:G90"/>
    <mergeCell ref="A94:H94"/>
    <mergeCell ref="F101:G101"/>
    <mergeCell ref="A104:H104"/>
    <mergeCell ref="A314:H314"/>
    <mergeCell ref="F316:G316"/>
    <mergeCell ref="A320:H320"/>
    <mergeCell ref="F244:G244"/>
    <mergeCell ref="A114:H114"/>
    <mergeCell ref="F116:G116"/>
    <mergeCell ref="A119:H119"/>
    <mergeCell ref="F121:G121"/>
    <mergeCell ref="A124:H124"/>
    <mergeCell ref="A147:H147"/>
    <mergeCell ref="F143:G143"/>
    <mergeCell ref="F137:G137"/>
    <mergeCell ref="A141:H141"/>
    <mergeCell ref="F132:G132"/>
    <mergeCell ref="A135:H135"/>
    <mergeCell ref="F167:G167"/>
    <mergeCell ref="A171:H171"/>
    <mergeCell ref="F126:G126"/>
    <mergeCell ref="A130:H130"/>
    <mergeCell ref="F173:G173"/>
    <mergeCell ref="F202:G202"/>
    <mergeCell ref="A206:H206"/>
    <mergeCell ref="F184:G184"/>
    <mergeCell ref="A188:H188"/>
  </mergeCells>
  <phoneticPr fontId="19" type="noConversion"/>
  <printOptions horizontalCentered="1"/>
  <pageMargins left="0.19685039370078741" right="0.19685039370078741" top="0.19685039370078741" bottom="0.39370078740157483" header="0.19685039370078741" footer="0.19685039370078741"/>
  <pageSetup paperSize="9" scale="61" fitToHeight="0" orientation="portrait" r:id="rId1"/>
  <headerFooter>
    <oddHeader xml:space="preserve">&amp;C
</oddHead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79"/>
  <sheetViews>
    <sheetView showGridLines="0" view="pageBreakPreview" zoomScaleNormal="100" zoomScaleSheetLayoutView="100" zoomScalePageLayoutView="85" workbookViewId="0">
      <selection activeCell="C34" sqref="C34"/>
    </sheetView>
  </sheetViews>
  <sheetFormatPr defaultColWidth="9.109375" defaultRowHeight="13.8" x14ac:dyDescent="0.3"/>
  <cols>
    <col min="1" max="1" width="13.6640625" style="1" bestFit="1" customWidth="1"/>
    <col min="2" max="2" width="9.109375" style="1"/>
    <col min="3" max="3" width="58.44140625" style="1" customWidth="1"/>
    <col min="4" max="4" width="17.33203125" style="1" bestFit="1" customWidth="1"/>
    <col min="5" max="5" width="8.6640625" style="1" customWidth="1"/>
    <col min="6" max="6" width="13.5546875" style="1" bestFit="1" customWidth="1"/>
    <col min="7" max="7" width="8.5546875" style="1" bestFit="1" customWidth="1"/>
    <col min="8" max="8" width="13.6640625" style="1" bestFit="1" customWidth="1"/>
    <col min="9" max="9" width="8.5546875" style="1" bestFit="1" customWidth="1"/>
    <col min="10" max="10" width="15" style="1" bestFit="1" customWidth="1"/>
    <col min="11" max="11" width="8.5546875" style="1" bestFit="1" customWidth="1"/>
    <col min="12" max="12" width="15" style="29" bestFit="1" customWidth="1"/>
    <col min="13" max="13" width="14.5546875" style="29" customWidth="1"/>
    <col min="14" max="16384" width="9.109375" style="1"/>
  </cols>
  <sheetData>
    <row r="1" spans="1:13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26"/>
      <c r="M1" s="54"/>
    </row>
    <row r="2" spans="1:13" x14ac:dyDescent="0.3">
      <c r="A2" s="21"/>
      <c r="B2" s="20"/>
      <c r="C2" s="20"/>
      <c r="D2" s="20"/>
      <c r="E2" s="20"/>
      <c r="F2" s="20"/>
      <c r="G2" s="20"/>
      <c r="H2" s="20"/>
      <c r="I2" s="20"/>
      <c r="J2" s="20"/>
      <c r="K2" s="20"/>
      <c r="L2" s="27"/>
      <c r="M2" s="55"/>
    </row>
    <row r="3" spans="1:13" ht="121.95" customHeight="1" thickBot="1" x14ac:dyDescent="0.35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7"/>
      <c r="M3" s="55"/>
    </row>
    <row r="4" spans="1:13" ht="13.95" customHeight="1" x14ac:dyDescent="0.3">
      <c r="A4" s="31" t="str">
        <f>CAPA!A10</f>
        <v>OBRA:</v>
      </c>
      <c r="B4" s="319" t="str">
        <f>CAPA!D10</f>
        <v>INSTALAÇÕES ELÉTRICAS/LÓGICAS</v>
      </c>
      <c r="C4" s="319"/>
      <c r="D4" s="201"/>
      <c r="E4" s="32" t="str">
        <f>CAPA!A20</f>
        <v>BDI (SERVIÇOS):</v>
      </c>
      <c r="F4" s="33">
        <f>CAPA!D20</f>
        <v>0.28347674918197008</v>
      </c>
      <c r="G4" s="33"/>
      <c r="H4" s="33"/>
      <c r="I4" s="33"/>
      <c r="J4" s="33"/>
      <c r="K4" s="33"/>
      <c r="L4" s="35" t="str">
        <f>CAPA!C23</f>
        <v>REVISÃO:</v>
      </c>
      <c r="M4" s="56" t="str">
        <f>CAPA!D23</f>
        <v>REV04</v>
      </c>
    </row>
    <row r="5" spans="1:13" x14ac:dyDescent="0.3">
      <c r="A5" s="36" t="str">
        <f>CAPA!A11</f>
        <v>PROPRIETÁRIO:</v>
      </c>
      <c r="B5" s="202" t="str">
        <f>CAPA!D11</f>
        <v>SENAR/MT</v>
      </c>
      <c r="C5" s="46"/>
      <c r="D5" s="46"/>
      <c r="E5" s="37" t="str">
        <f>CAPA!A22</f>
        <v>REFERÊNCIA:</v>
      </c>
      <c r="F5" s="38" t="str">
        <f>CAPA!D22</f>
        <v>SINAPI-MT</v>
      </c>
      <c r="G5" s="38"/>
      <c r="H5" s="38"/>
      <c r="I5" s="38"/>
      <c r="J5" s="38"/>
      <c r="K5" s="38"/>
      <c r="L5" s="30" t="str">
        <f>RESUMO!G15</f>
        <v>DATA BASE:</v>
      </c>
      <c r="M5" s="85" t="str">
        <f>CAPA!I20</f>
        <v>JAN/2022</v>
      </c>
    </row>
    <row r="6" spans="1:13" x14ac:dyDescent="0.3">
      <c r="A6" s="36" t="str">
        <f>CAPA!A12</f>
        <v>MUNICÍPIO:</v>
      </c>
      <c r="B6" s="202" t="str">
        <f>CAPA!D12</f>
        <v>Cuiabá/MT</v>
      </c>
      <c r="C6" s="202"/>
      <c r="D6" s="202"/>
      <c r="E6" s="37" t="str">
        <f>CAPA!F20</f>
        <v>DATA BASE DO ORÇAMENTO:</v>
      </c>
      <c r="F6" s="40" t="str">
        <f>CAPA!D23</f>
        <v>REV04</v>
      </c>
      <c r="G6" s="40"/>
      <c r="H6" s="40"/>
      <c r="I6" s="40"/>
      <c r="J6" s="40"/>
      <c r="K6" s="40"/>
      <c r="L6" s="30" t="str">
        <f>CAPA!F22</f>
        <v>ENCARGOS:</v>
      </c>
      <c r="M6" s="57" t="str">
        <f>CAPA!I22</f>
        <v>Desonerado</v>
      </c>
    </row>
    <row r="7" spans="1:13" ht="15" customHeight="1" x14ac:dyDescent="0.3">
      <c r="A7" s="36" t="str">
        <f>CAPA!A13</f>
        <v>ENDEREÇO:</v>
      </c>
      <c r="B7" s="342" t="str">
        <f>CAPA!D13</f>
        <v xml:space="preserve">Rua Eng. Edgard Prado Arze, S/N , Quadra 01 - Setor A, Centro Político Administrativo
</v>
      </c>
      <c r="C7" s="342"/>
      <c r="D7" s="202"/>
      <c r="E7" s="37" t="str">
        <f>CAPA!F21</f>
        <v>PRAZO DE EXECUÇÃO:</v>
      </c>
      <c r="F7" s="41" t="str">
        <f>CAPA!I21</f>
        <v>03 meses</v>
      </c>
      <c r="G7" s="41"/>
      <c r="H7" s="41"/>
      <c r="I7" s="41"/>
      <c r="J7" s="41"/>
      <c r="K7" s="41"/>
      <c r="L7" s="30"/>
      <c r="M7" s="57"/>
    </row>
    <row r="8" spans="1:13" ht="30" customHeight="1" thickBot="1" x14ac:dyDescent="0.35">
      <c r="A8" s="23"/>
      <c r="B8" s="343"/>
      <c r="C8" s="343"/>
      <c r="D8" s="24"/>
      <c r="E8" s="24"/>
      <c r="F8" s="24"/>
      <c r="G8" s="24"/>
      <c r="H8" s="24"/>
      <c r="I8" s="24"/>
      <c r="J8" s="24"/>
      <c r="K8" s="24"/>
      <c r="L8" s="28"/>
      <c r="M8" s="58"/>
    </row>
    <row r="9" spans="1:13" ht="21.6" thickBot="1" x14ac:dyDescent="0.35">
      <c r="A9" s="347" t="s">
        <v>12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9"/>
    </row>
    <row r="10" spans="1:13" ht="21" x14ac:dyDescent="0.3">
      <c r="A10" s="59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60"/>
    </row>
    <row r="11" spans="1:13" ht="13.95" customHeight="1" x14ac:dyDescent="0.3">
      <c r="A11" s="350" t="s">
        <v>2</v>
      </c>
      <c r="B11" s="317" t="s">
        <v>3</v>
      </c>
      <c r="C11" s="317"/>
      <c r="D11" s="317" t="s">
        <v>4</v>
      </c>
      <c r="E11" s="317" t="s">
        <v>40</v>
      </c>
      <c r="F11" s="351" t="s">
        <v>89</v>
      </c>
      <c r="G11" s="351"/>
      <c r="H11" s="351" t="s">
        <v>90</v>
      </c>
      <c r="I11" s="351"/>
      <c r="J11" s="351" t="s">
        <v>91</v>
      </c>
      <c r="K11" s="351"/>
      <c r="L11" s="351" t="s">
        <v>6</v>
      </c>
      <c r="M11" s="352"/>
    </row>
    <row r="12" spans="1:13" x14ac:dyDescent="0.3">
      <c r="A12" s="350"/>
      <c r="B12" s="317"/>
      <c r="C12" s="317"/>
      <c r="D12" s="317"/>
      <c r="E12" s="317"/>
      <c r="F12" s="206" t="s">
        <v>1</v>
      </c>
      <c r="G12" s="206" t="s">
        <v>41</v>
      </c>
      <c r="H12" s="206" t="s">
        <v>1</v>
      </c>
      <c r="I12" s="206" t="s">
        <v>41</v>
      </c>
      <c r="J12" s="206" t="s">
        <v>1</v>
      </c>
      <c r="K12" s="206" t="s">
        <v>41</v>
      </c>
      <c r="L12" s="206" t="s">
        <v>1</v>
      </c>
      <c r="M12" s="207" t="s">
        <v>41</v>
      </c>
    </row>
    <row r="13" spans="1:13" x14ac:dyDescent="0.3">
      <c r="A13" s="125">
        <f>ORÇAMENTO!A19</f>
        <v>1</v>
      </c>
      <c r="B13" s="355" t="str">
        <f>ORÇAMENTO!D19</f>
        <v>SERVIÇOS PRELIMINARES/ADMINISTRAÇÃO DE OBRA</v>
      </c>
      <c r="C13" s="355"/>
      <c r="D13" s="126">
        <f>ORÇAMENTO!I19</f>
        <v>54343.509999999995</v>
      </c>
      <c r="E13" s="127">
        <f>D13/$D$16</f>
        <v>8.1017256380975247E-2</v>
      </c>
      <c r="F13" s="96">
        <f>D13*G13</f>
        <v>21737.403999999999</v>
      </c>
      <c r="G13" s="127">
        <v>0.4</v>
      </c>
      <c r="H13" s="96">
        <f>D13*I13</f>
        <v>16303.052999999998</v>
      </c>
      <c r="I13" s="127">
        <v>0.3</v>
      </c>
      <c r="J13" s="96">
        <f>D13*K13</f>
        <v>16303.052999999998</v>
      </c>
      <c r="K13" s="128">
        <v>0.3</v>
      </c>
      <c r="L13" s="96">
        <f>F13+H13+J13</f>
        <v>54343.509999999995</v>
      </c>
      <c r="M13" s="129">
        <f>SUM(K13,I13,G13)</f>
        <v>1</v>
      </c>
    </row>
    <row r="14" spans="1:13" x14ac:dyDescent="0.3">
      <c r="A14" s="125">
        <f>ORÇAMENTO!A24</f>
        <v>2</v>
      </c>
      <c r="B14" s="355" t="str">
        <f>ORÇAMENTO!D24</f>
        <v>CABEAMENTO</v>
      </c>
      <c r="C14" s="355"/>
      <c r="D14" s="126">
        <f>ORÇAMENTO!I24</f>
        <v>533618.0199999999</v>
      </c>
      <c r="E14" s="127">
        <f>D14/$D$16</f>
        <v>0.79553690837872593</v>
      </c>
      <c r="F14" s="96">
        <f>D14*G14</f>
        <v>213447.20799999998</v>
      </c>
      <c r="G14" s="127">
        <v>0.4</v>
      </c>
      <c r="H14" s="96">
        <f t="shared" ref="H14:H15" si="0">D14*I14</f>
        <v>160085.40599999996</v>
      </c>
      <c r="I14" s="127">
        <v>0.3</v>
      </c>
      <c r="J14" s="96">
        <f t="shared" ref="J14:J15" si="1">D14*K14</f>
        <v>160085.40599999996</v>
      </c>
      <c r="K14" s="128">
        <v>0.3</v>
      </c>
      <c r="L14" s="96">
        <f t="shared" ref="L14:L15" si="2">F14+H14+J14</f>
        <v>533618.0199999999</v>
      </c>
      <c r="M14" s="129">
        <f t="shared" ref="M14" si="3">SUM(K14,I14,G14)</f>
        <v>1</v>
      </c>
    </row>
    <row r="15" spans="1:13" x14ac:dyDescent="0.3">
      <c r="A15" s="125">
        <f>ORÇAMENTO!A108</f>
        <v>3</v>
      </c>
      <c r="B15" s="355" t="str">
        <f>ORÇAMENTO!D108</f>
        <v>COMPLEMENTAÇÃO DA OBRA</v>
      </c>
      <c r="C15" s="355"/>
      <c r="D15" s="126">
        <f>ORÇAMENTO!I108</f>
        <v>82803.100000000006</v>
      </c>
      <c r="E15" s="127">
        <f>D15/$D$16</f>
        <v>0.12344583524029885</v>
      </c>
      <c r="F15" s="96">
        <f>D15*G15</f>
        <v>0</v>
      </c>
      <c r="G15" s="127">
        <v>0</v>
      </c>
      <c r="H15" s="96">
        <f t="shared" si="0"/>
        <v>0</v>
      </c>
      <c r="I15" s="127">
        <v>0</v>
      </c>
      <c r="J15" s="96">
        <f t="shared" si="1"/>
        <v>82803.100000000006</v>
      </c>
      <c r="K15" s="128">
        <v>1</v>
      </c>
      <c r="L15" s="96">
        <f t="shared" si="2"/>
        <v>82803.100000000006</v>
      </c>
      <c r="M15" s="129">
        <f>SUM(K15,I15,G15)</f>
        <v>1</v>
      </c>
    </row>
    <row r="16" spans="1:13" x14ac:dyDescent="0.3">
      <c r="A16" s="350" t="s">
        <v>6</v>
      </c>
      <c r="B16" s="317"/>
      <c r="C16" s="317"/>
      <c r="D16" s="62">
        <f>SUM(D13:D15)</f>
        <v>670764.62999999989</v>
      </c>
      <c r="E16" s="64">
        <f>SUM(E13:E15)</f>
        <v>1</v>
      </c>
      <c r="F16" s="62">
        <f>SUM(F13:F15)</f>
        <v>235184.61199999999</v>
      </c>
      <c r="G16" s="64">
        <f>F16/$D$16</f>
        <v>0.3506216659038805</v>
      </c>
      <c r="H16" s="62">
        <f>SUM(H13:H15)</f>
        <v>176388.45899999994</v>
      </c>
      <c r="I16" s="64">
        <f>H16/$D$16</f>
        <v>0.2629662494279103</v>
      </c>
      <c r="J16" s="62">
        <f>SUM(J13:J15)</f>
        <v>259191.55899999995</v>
      </c>
      <c r="K16" s="64">
        <f>J16/$D$16</f>
        <v>0.38641208466820914</v>
      </c>
      <c r="L16" s="62">
        <f>F16+H16+J16</f>
        <v>670764.62999999989</v>
      </c>
      <c r="M16" s="353">
        <f>G16+I16+K16</f>
        <v>1</v>
      </c>
    </row>
    <row r="17" spans="1:13" x14ac:dyDescent="0.3">
      <c r="A17" s="350" t="s">
        <v>58</v>
      </c>
      <c r="B17" s="317"/>
      <c r="C17" s="317"/>
      <c r="D17" s="62">
        <f>D16</f>
        <v>670764.62999999989</v>
      </c>
      <c r="E17" s="64">
        <f>E16</f>
        <v>1</v>
      </c>
      <c r="F17" s="62">
        <f>F16</f>
        <v>235184.61199999999</v>
      </c>
      <c r="G17" s="64">
        <f>G16</f>
        <v>0.3506216659038805</v>
      </c>
      <c r="H17" s="62">
        <f>F16+H16</f>
        <v>411573.07099999994</v>
      </c>
      <c r="I17" s="64">
        <f>I16+G16</f>
        <v>0.6135879153317908</v>
      </c>
      <c r="J17" s="62">
        <f>F16+H16+J16</f>
        <v>670764.62999999989</v>
      </c>
      <c r="K17" s="97">
        <f>G16+I16+K16</f>
        <v>1</v>
      </c>
      <c r="L17" s="62">
        <f>D17</f>
        <v>670764.62999999989</v>
      </c>
      <c r="M17" s="354"/>
    </row>
    <row r="18" spans="1:13" x14ac:dyDescent="0.3">
      <c r="A18" s="21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7"/>
      <c r="M18" s="55"/>
    </row>
    <row r="19" spans="1:13" x14ac:dyDescent="0.3">
      <c r="A19" s="2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7"/>
      <c r="M19" s="55"/>
    </row>
    <row r="20" spans="1:13" x14ac:dyDescent="0.3">
      <c r="A20" s="2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7"/>
      <c r="M20" s="55"/>
    </row>
    <row r="21" spans="1:13" x14ac:dyDescent="0.3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7"/>
      <c r="M21" s="55"/>
    </row>
    <row r="22" spans="1:13" x14ac:dyDescent="0.3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7"/>
      <c r="M22" s="55"/>
    </row>
    <row r="23" spans="1:13" x14ac:dyDescent="0.3">
      <c r="A23" s="2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7"/>
      <c r="M23" s="55"/>
    </row>
    <row r="24" spans="1:13" x14ac:dyDescent="0.3">
      <c r="A24" s="21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7"/>
      <c r="M24" s="55"/>
    </row>
    <row r="25" spans="1:13" x14ac:dyDescent="0.3">
      <c r="A25" s="2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7"/>
      <c r="M25" s="55"/>
    </row>
    <row r="26" spans="1:13" x14ac:dyDescent="0.3">
      <c r="A26" s="21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7"/>
      <c r="M26" s="55"/>
    </row>
    <row r="27" spans="1:13" x14ac:dyDescent="0.3">
      <c r="A27" s="2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7"/>
      <c r="M27" s="55"/>
    </row>
    <row r="28" spans="1:13" x14ac:dyDescent="0.3">
      <c r="A28" s="21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7"/>
      <c r="M28" s="55"/>
    </row>
    <row r="29" spans="1:13" x14ac:dyDescent="0.3">
      <c r="A29" s="21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7"/>
      <c r="M29" s="55"/>
    </row>
    <row r="30" spans="1:13" x14ac:dyDescent="0.3">
      <c r="A30" s="21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7"/>
      <c r="M30" s="55"/>
    </row>
    <row r="31" spans="1:13" x14ac:dyDescent="0.3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7"/>
      <c r="M31" s="55"/>
    </row>
    <row r="32" spans="1:13" x14ac:dyDescent="0.3">
      <c r="A32" s="2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7"/>
      <c r="M32" s="55"/>
    </row>
    <row r="33" spans="1:13" x14ac:dyDescent="0.3">
      <c r="A33" s="21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7"/>
      <c r="M33" s="55"/>
    </row>
    <row r="34" spans="1:13" x14ac:dyDescent="0.3">
      <c r="A34" s="2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7"/>
      <c r="M34" s="55"/>
    </row>
    <row r="35" spans="1:13" ht="14.4" thickBot="1" x14ac:dyDescent="0.3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8"/>
      <c r="M35" s="58"/>
    </row>
    <row r="36" spans="1:13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7"/>
      <c r="M36" s="27"/>
    </row>
    <row r="37" spans="1:13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7"/>
      <c r="M37" s="27"/>
    </row>
    <row r="38" spans="1:13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7"/>
      <c r="M38" s="27"/>
    </row>
    <row r="39" spans="1:13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7"/>
      <c r="M39" s="27"/>
    </row>
    <row r="40" spans="1:13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7"/>
      <c r="M40" s="27"/>
    </row>
    <row r="41" spans="1:13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7"/>
      <c r="M41" s="27"/>
    </row>
    <row r="42" spans="1:13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7"/>
      <c r="M42" s="27"/>
    </row>
    <row r="43" spans="1:13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7"/>
      <c r="M43" s="27"/>
    </row>
    <row r="44" spans="1:13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7"/>
      <c r="M44" s="27"/>
    </row>
    <row r="45" spans="1:13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7"/>
      <c r="M45" s="27"/>
    </row>
    <row r="46" spans="1:13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7"/>
      <c r="M46" s="27"/>
    </row>
    <row r="47" spans="1:13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7"/>
      <c r="M47" s="27"/>
    </row>
    <row r="48" spans="1:13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7"/>
      <c r="M48" s="27"/>
    </row>
    <row r="49" spans="1:13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7"/>
      <c r="M49" s="27"/>
    </row>
    <row r="50" spans="1:13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7"/>
      <c r="M50" s="27"/>
    </row>
    <row r="51" spans="1:13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7"/>
      <c r="M51" s="27"/>
    </row>
    <row r="52" spans="1:13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7"/>
      <c r="M52" s="27"/>
    </row>
    <row r="53" spans="1:13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7"/>
      <c r="M53" s="27"/>
    </row>
    <row r="54" spans="1:13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7"/>
      <c r="M54" s="27"/>
    </row>
    <row r="55" spans="1:13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7"/>
      <c r="M55" s="27"/>
    </row>
    <row r="56" spans="1:13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7"/>
      <c r="M56" s="27"/>
    </row>
    <row r="57" spans="1:13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7"/>
      <c r="M57" s="27"/>
    </row>
    <row r="58" spans="1:13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7"/>
      <c r="M58" s="27"/>
    </row>
    <row r="59" spans="1:13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7"/>
      <c r="M59" s="27"/>
    </row>
    <row r="60" spans="1:13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7"/>
      <c r="M60" s="27"/>
    </row>
    <row r="61" spans="1:13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7"/>
      <c r="M61" s="27"/>
    </row>
    <row r="62" spans="1:13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7"/>
      <c r="M62" s="27"/>
    </row>
    <row r="63" spans="1:13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7"/>
      <c r="M63" s="27"/>
    </row>
    <row r="64" spans="1:13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7"/>
      <c r="M64" s="27"/>
    </row>
    <row r="65" spans="1:13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7"/>
      <c r="M65" s="27"/>
    </row>
    <row r="66" spans="1:13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7"/>
      <c r="M66" s="27"/>
    </row>
    <row r="67" spans="1:13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7"/>
      <c r="M67" s="27"/>
    </row>
    <row r="68" spans="1:13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7"/>
      <c r="M68" s="27"/>
    </row>
    <row r="69" spans="1:13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7"/>
      <c r="M69" s="27"/>
    </row>
    <row r="70" spans="1:13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7"/>
      <c r="M70" s="27"/>
    </row>
    <row r="71" spans="1:13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7"/>
      <c r="M71" s="27"/>
    </row>
    <row r="72" spans="1:13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7"/>
      <c r="M72" s="27"/>
    </row>
    <row r="73" spans="1:13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7"/>
      <c r="M73" s="27"/>
    </row>
    <row r="74" spans="1:13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7"/>
      <c r="M74" s="27"/>
    </row>
    <row r="75" spans="1:13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7"/>
      <c r="M75" s="27"/>
    </row>
    <row r="76" spans="1:13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7"/>
      <c r="M76" s="27"/>
    </row>
    <row r="77" spans="1:13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7"/>
      <c r="M77" s="27"/>
    </row>
    <row r="78" spans="1:13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7"/>
      <c r="M78" s="27"/>
    </row>
    <row r="79" spans="1:13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7"/>
      <c r="M79" s="27"/>
    </row>
  </sheetData>
  <mergeCells count="17">
    <mergeCell ref="A17:C17"/>
    <mergeCell ref="M16:M17"/>
    <mergeCell ref="B13:C13"/>
    <mergeCell ref="A16:C16"/>
    <mergeCell ref="B14:C14"/>
    <mergeCell ref="B15:C15"/>
    <mergeCell ref="B4:C4"/>
    <mergeCell ref="A9:M9"/>
    <mergeCell ref="A11:A12"/>
    <mergeCell ref="E11:E12"/>
    <mergeCell ref="L11:M11"/>
    <mergeCell ref="B11:C12"/>
    <mergeCell ref="D11:D12"/>
    <mergeCell ref="J11:K11"/>
    <mergeCell ref="F11:G11"/>
    <mergeCell ref="H11:I11"/>
    <mergeCell ref="B7:C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0" fitToHeight="0" orientation="landscape" r:id="rId1"/>
  <headerFooter>
    <oddHeader xml:space="preserve">&amp;C
</oddHeader>
    <oddFooter>Página &amp;P de &amp;N</oddFooter>
  </headerFooter>
  <ignoredErrors>
    <ignoredError sqref="I16 G1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1"/>
  <sheetViews>
    <sheetView showGridLines="0" view="pageBreakPreview" zoomScale="90" zoomScaleNormal="85" zoomScaleSheetLayoutView="90" workbookViewId="0">
      <selection activeCell="E263" sqref="E263"/>
    </sheetView>
  </sheetViews>
  <sheetFormatPr defaultRowHeight="14.4" x14ac:dyDescent="0.3"/>
  <cols>
    <col min="1" max="1" width="13.6640625" style="160" bestFit="1" customWidth="1"/>
    <col min="2" max="2" width="56.33203125" customWidth="1"/>
    <col min="3" max="3" width="9" bestFit="1" customWidth="1"/>
    <col min="4" max="6" width="24.6640625" customWidth="1"/>
    <col min="7" max="7" width="16.109375" customWidth="1"/>
  </cols>
  <sheetData>
    <row r="1" spans="1:7" x14ac:dyDescent="0.3">
      <c r="A1" s="154"/>
      <c r="B1" s="18"/>
      <c r="C1" s="18"/>
      <c r="D1" s="18"/>
      <c r="E1" s="18"/>
      <c r="F1" s="26"/>
      <c r="G1" s="54"/>
    </row>
    <row r="2" spans="1:7" x14ac:dyDescent="0.3">
      <c r="A2" s="155"/>
      <c r="B2" s="20"/>
      <c r="C2" s="20"/>
      <c r="D2" s="20"/>
      <c r="E2" s="20"/>
      <c r="F2" s="27"/>
      <c r="G2" s="55"/>
    </row>
    <row r="3" spans="1:7" x14ac:dyDescent="0.3">
      <c r="A3" s="155"/>
      <c r="B3" s="20"/>
      <c r="C3" s="20"/>
      <c r="D3" s="20"/>
      <c r="E3" s="20"/>
      <c r="F3" s="27"/>
      <c r="G3" s="55"/>
    </row>
    <row r="4" spans="1:7" x14ac:dyDescent="0.3">
      <c r="A4" s="155"/>
      <c r="B4" s="20"/>
      <c r="C4" s="20"/>
      <c r="D4" s="20"/>
      <c r="E4" s="20"/>
      <c r="F4" s="27"/>
      <c r="G4" s="55"/>
    </row>
    <row r="5" spans="1:7" x14ac:dyDescent="0.3">
      <c r="A5" s="155"/>
      <c r="B5" s="20"/>
      <c r="C5" s="20"/>
      <c r="D5" s="20"/>
      <c r="E5" s="20"/>
      <c r="F5" s="27"/>
      <c r="G5" s="55"/>
    </row>
    <row r="6" spans="1:7" x14ac:dyDescent="0.3">
      <c r="A6" s="155"/>
      <c r="B6" s="20"/>
      <c r="C6" s="20"/>
      <c r="D6" s="20"/>
      <c r="E6" s="20"/>
      <c r="F6" s="27"/>
      <c r="G6" s="55"/>
    </row>
    <row r="7" spans="1:7" x14ac:dyDescent="0.3">
      <c r="A7" s="155"/>
      <c r="B7" s="20"/>
      <c r="C7" s="20"/>
      <c r="D7" s="20"/>
      <c r="E7" s="20"/>
      <c r="F7" s="27"/>
      <c r="G7" s="55"/>
    </row>
    <row r="8" spans="1:7" ht="15" thickBot="1" x14ac:dyDescent="0.35">
      <c r="A8" s="155"/>
      <c r="B8" s="20"/>
      <c r="C8" s="20"/>
      <c r="D8" s="20"/>
      <c r="E8" s="20"/>
      <c r="F8" s="27"/>
      <c r="G8" s="55"/>
    </row>
    <row r="9" spans="1:7" x14ac:dyDescent="0.3">
      <c r="A9" s="156" t="str">
        <f>CAPA!A10</f>
        <v>OBRA:</v>
      </c>
      <c r="B9" s="319" t="str">
        <f>CAPA!D10</f>
        <v>INSTALAÇÕES ELÉTRICAS/LÓGICAS</v>
      </c>
      <c r="C9" s="319"/>
      <c r="D9" s="32" t="str">
        <f>CAPA!A20</f>
        <v>BDI (SERVIÇOS):</v>
      </c>
      <c r="E9" s="33">
        <f>CAPA!D20</f>
        <v>0.28347674918197008</v>
      </c>
      <c r="F9" s="35" t="str">
        <f>CAPA!C23</f>
        <v>REVISÃO:</v>
      </c>
      <c r="G9" s="56" t="str">
        <f>CAPA!D23</f>
        <v>REV04</v>
      </c>
    </row>
    <row r="10" spans="1:7" x14ac:dyDescent="0.3">
      <c r="A10" s="157" t="str">
        <f>CAPA!A11</f>
        <v>PROPRIETÁRIO:</v>
      </c>
      <c r="B10" s="320" t="str">
        <f>CAPA!D11</f>
        <v>SENAR/MT</v>
      </c>
      <c r="C10" s="320"/>
      <c r="D10" s="37" t="str">
        <f>CAPA!A22</f>
        <v>REFERÊNCIA:</v>
      </c>
      <c r="E10" s="38" t="str">
        <f>CAPA!D22</f>
        <v>SINAPI-MT</v>
      </c>
      <c r="F10" s="30" t="str">
        <f>RESUMO!G15</f>
        <v>DATA BASE:</v>
      </c>
      <c r="G10" s="85" t="str">
        <f>CAPA!I20</f>
        <v>JAN/2022</v>
      </c>
    </row>
    <row r="11" spans="1:7" x14ac:dyDescent="0.3">
      <c r="A11" s="157" t="str">
        <f>CAPA!A12</f>
        <v>MUNICÍPIO:</v>
      </c>
      <c r="B11" s="320" t="str">
        <f>CAPA!D12</f>
        <v>Cuiabá/MT</v>
      </c>
      <c r="C11" s="320"/>
      <c r="D11" s="37" t="str">
        <f>CAPA!F20</f>
        <v>DATA BASE DO ORÇAMENTO:</v>
      </c>
      <c r="E11" s="40" t="str">
        <f>CAPA!D23</f>
        <v>REV04</v>
      </c>
      <c r="F11" s="30" t="str">
        <f>CAPA!F22</f>
        <v>ENCARGOS:</v>
      </c>
      <c r="G11" s="57" t="str">
        <f>CAPA!I22</f>
        <v>Desonerado</v>
      </c>
    </row>
    <row r="12" spans="1:7" x14ac:dyDescent="0.3">
      <c r="A12" s="157" t="str">
        <f>CAPA!A13</f>
        <v>ENDEREÇO:</v>
      </c>
      <c r="B12" s="374" t="str">
        <f>CAPA!D13</f>
        <v xml:space="preserve">Rua Eng. Edgard Prado Arze, S/N , Quadra 01 - Setor A, Centro Político Administrativo
</v>
      </c>
      <c r="C12" s="374"/>
      <c r="D12" s="37" t="str">
        <f>CAPA!F21</f>
        <v>PRAZO DE EXECUÇÃO:</v>
      </c>
      <c r="E12" s="41" t="str">
        <f>CAPA!I21</f>
        <v>03 meses</v>
      </c>
      <c r="F12" s="30"/>
      <c r="G12" s="57"/>
    </row>
    <row r="13" spans="1:7" ht="15" thickBot="1" x14ac:dyDescent="0.35">
      <c r="A13" s="158"/>
      <c r="B13" s="375"/>
      <c r="C13" s="375"/>
      <c r="D13" s="24"/>
      <c r="E13" s="24"/>
      <c r="F13" s="28"/>
      <c r="G13" s="58"/>
    </row>
    <row r="14" spans="1:7" ht="18.600000000000001" thickBot="1" x14ac:dyDescent="0.35">
      <c r="A14" s="378" t="s">
        <v>62</v>
      </c>
      <c r="B14" s="379"/>
      <c r="C14" s="379"/>
      <c r="D14" s="379"/>
      <c r="E14" s="379"/>
      <c r="F14" s="379"/>
      <c r="G14" s="380"/>
    </row>
    <row r="15" spans="1:7" x14ac:dyDescent="0.3">
      <c r="A15" s="159"/>
      <c r="B15" s="68"/>
      <c r="C15" s="69"/>
      <c r="D15" s="70"/>
      <c r="E15" s="70"/>
      <c r="F15" s="70"/>
      <c r="G15" s="77"/>
    </row>
    <row r="16" spans="1:7" ht="15" thickBot="1" x14ac:dyDescent="0.35">
      <c r="A16" s="216" t="s">
        <v>2</v>
      </c>
      <c r="B16" s="71" t="s">
        <v>3</v>
      </c>
      <c r="C16" s="72" t="s">
        <v>64</v>
      </c>
      <c r="D16" s="73" t="s">
        <v>65</v>
      </c>
      <c r="E16" s="74" t="s">
        <v>66</v>
      </c>
      <c r="F16" s="75" t="s">
        <v>67</v>
      </c>
      <c r="G16" s="76" t="s">
        <v>68</v>
      </c>
    </row>
    <row r="17" spans="1:7" x14ac:dyDescent="0.3">
      <c r="A17" s="112"/>
      <c r="B17" s="103"/>
      <c r="C17" s="84"/>
      <c r="D17" s="82"/>
      <c r="E17" s="82"/>
      <c r="F17" s="104"/>
      <c r="G17" s="113"/>
    </row>
    <row r="18" spans="1:7" x14ac:dyDescent="0.3">
      <c r="A18" s="356" t="s">
        <v>63</v>
      </c>
      <c r="B18" s="359" t="s">
        <v>486</v>
      </c>
      <c r="C18" s="362" t="s">
        <v>13</v>
      </c>
      <c r="D18" s="98" t="s">
        <v>445</v>
      </c>
      <c r="E18" s="98" t="s">
        <v>447</v>
      </c>
      <c r="F18" s="98" t="s">
        <v>448</v>
      </c>
      <c r="G18" s="365">
        <f>TRUNC(MEDIAN(D20:F20),2)</f>
        <v>927.67</v>
      </c>
    </row>
    <row r="19" spans="1:7" x14ac:dyDescent="0.3">
      <c r="A19" s="357"/>
      <c r="B19" s="360"/>
      <c r="C19" s="363"/>
      <c r="D19" s="98" t="s">
        <v>446</v>
      </c>
      <c r="E19" s="98" t="s">
        <v>449</v>
      </c>
      <c r="F19" s="98" t="s">
        <v>450</v>
      </c>
      <c r="G19" s="366"/>
    </row>
    <row r="20" spans="1:7" ht="15" thickBot="1" x14ac:dyDescent="0.35">
      <c r="A20" s="358"/>
      <c r="B20" s="361"/>
      <c r="C20" s="364"/>
      <c r="D20" s="99">
        <v>909.05</v>
      </c>
      <c r="E20" s="99">
        <v>929.3</v>
      </c>
      <c r="F20" s="99">
        <v>927.67</v>
      </c>
      <c r="G20" s="367"/>
    </row>
    <row r="21" spans="1:7" x14ac:dyDescent="0.3">
      <c r="A21" s="112"/>
      <c r="B21" s="103"/>
      <c r="C21" s="84"/>
      <c r="D21" s="82"/>
      <c r="E21" s="82"/>
      <c r="F21" s="104"/>
      <c r="G21" s="113"/>
    </row>
    <row r="22" spans="1:7" x14ac:dyDescent="0.3">
      <c r="A22" s="356" t="s">
        <v>111</v>
      </c>
      <c r="B22" s="359" t="s">
        <v>192</v>
      </c>
      <c r="C22" s="362" t="s">
        <v>13</v>
      </c>
      <c r="D22" s="98" t="s">
        <v>445</v>
      </c>
      <c r="E22" s="98" t="s">
        <v>287</v>
      </c>
      <c r="F22" s="98" t="s">
        <v>448</v>
      </c>
      <c r="G22" s="365">
        <f>TRUNC(MEDIAN(D24:F24),2)</f>
        <v>240.99</v>
      </c>
    </row>
    <row r="23" spans="1:7" x14ac:dyDescent="0.3">
      <c r="A23" s="357"/>
      <c r="B23" s="360"/>
      <c r="C23" s="363"/>
      <c r="D23" s="98" t="s">
        <v>446</v>
      </c>
      <c r="E23" s="98" t="s">
        <v>290</v>
      </c>
      <c r="F23" s="98" t="s">
        <v>450</v>
      </c>
      <c r="G23" s="366"/>
    </row>
    <row r="24" spans="1:7" ht="15" thickBot="1" x14ac:dyDescent="0.35">
      <c r="A24" s="358"/>
      <c r="B24" s="361"/>
      <c r="C24" s="364"/>
      <c r="D24" s="99">
        <v>350</v>
      </c>
      <c r="E24" s="99">
        <v>220.52</v>
      </c>
      <c r="F24" s="99">
        <v>240.99</v>
      </c>
      <c r="G24" s="367"/>
    </row>
    <row r="25" spans="1:7" x14ac:dyDescent="0.3">
      <c r="A25" s="112"/>
      <c r="B25" s="103"/>
      <c r="C25" s="84"/>
      <c r="D25" s="82"/>
      <c r="E25" s="82"/>
      <c r="F25" s="104"/>
      <c r="G25" s="113"/>
    </row>
    <row r="26" spans="1:7" x14ac:dyDescent="0.3">
      <c r="A26" s="356" t="s">
        <v>112</v>
      </c>
      <c r="B26" s="359" t="s">
        <v>520</v>
      </c>
      <c r="C26" s="362" t="s">
        <v>13</v>
      </c>
      <c r="D26" s="98" t="s">
        <v>448</v>
      </c>
      <c r="E26" s="98" t="s">
        <v>525</v>
      </c>
      <c r="F26" s="98" t="s">
        <v>528</v>
      </c>
      <c r="G26" s="365">
        <f>TRUNC(MEDIAN(D28:F28),2)</f>
        <v>1984.8</v>
      </c>
    </row>
    <row r="27" spans="1:7" x14ac:dyDescent="0.3">
      <c r="A27" s="357"/>
      <c r="B27" s="360"/>
      <c r="C27" s="363"/>
      <c r="D27" s="98" t="s">
        <v>291</v>
      </c>
      <c r="E27" s="98" t="s">
        <v>526</v>
      </c>
      <c r="F27" s="98" t="s">
        <v>529</v>
      </c>
      <c r="G27" s="366"/>
    </row>
    <row r="28" spans="1:7" ht="15" thickBot="1" x14ac:dyDescent="0.35">
      <c r="A28" s="358"/>
      <c r="B28" s="361"/>
      <c r="C28" s="364"/>
      <c r="D28" s="99" t="s">
        <v>527</v>
      </c>
      <c r="E28" s="99">
        <v>1832.8</v>
      </c>
      <c r="F28" s="99">
        <v>2136.8000000000002</v>
      </c>
      <c r="G28" s="367"/>
    </row>
    <row r="29" spans="1:7" x14ac:dyDescent="0.3">
      <c r="A29" s="112"/>
      <c r="B29" s="103"/>
      <c r="C29" s="84"/>
      <c r="D29" s="82"/>
      <c r="E29" s="82"/>
      <c r="F29" s="104"/>
      <c r="G29" s="113"/>
    </row>
    <row r="30" spans="1:7" x14ac:dyDescent="0.3">
      <c r="A30" s="356" t="s">
        <v>99</v>
      </c>
      <c r="B30" s="359" t="s">
        <v>606</v>
      </c>
      <c r="C30" s="362" t="s">
        <v>13</v>
      </c>
      <c r="D30" s="98" t="s">
        <v>448</v>
      </c>
      <c r="E30" s="98" t="s">
        <v>525</v>
      </c>
      <c r="F30" s="98"/>
      <c r="G30" s="365">
        <f>TRUNC(MEDIAN(D32:F32),2)</f>
        <v>3097.76</v>
      </c>
    </row>
    <row r="31" spans="1:7" x14ac:dyDescent="0.3">
      <c r="A31" s="357"/>
      <c r="B31" s="360"/>
      <c r="C31" s="363"/>
      <c r="D31" s="98" t="s">
        <v>291</v>
      </c>
      <c r="E31" s="98" t="s">
        <v>526</v>
      </c>
      <c r="F31" s="98"/>
      <c r="G31" s="366"/>
    </row>
    <row r="32" spans="1:7" ht="15" thickBot="1" x14ac:dyDescent="0.35">
      <c r="A32" s="358"/>
      <c r="B32" s="361"/>
      <c r="C32" s="364"/>
      <c r="D32" s="99">
        <v>3661.47</v>
      </c>
      <c r="E32" s="99">
        <v>2534.067</v>
      </c>
      <c r="F32" s="99"/>
      <c r="G32" s="367"/>
    </row>
    <row r="33" spans="1:7" x14ac:dyDescent="0.3">
      <c r="A33" s="112"/>
      <c r="B33" s="103"/>
      <c r="C33" s="84"/>
      <c r="D33" s="82"/>
      <c r="E33" s="82"/>
      <c r="F33" s="104"/>
      <c r="G33" s="113"/>
    </row>
    <row r="34" spans="1:7" ht="15" customHeight="1" x14ac:dyDescent="0.3">
      <c r="A34" s="356" t="s">
        <v>100</v>
      </c>
      <c r="B34" s="376" t="s">
        <v>193</v>
      </c>
      <c r="C34" s="362" t="s">
        <v>13</v>
      </c>
      <c r="D34" s="98" t="s">
        <v>445</v>
      </c>
      <c r="E34" s="98" t="s">
        <v>448</v>
      </c>
      <c r="F34" s="98" t="s">
        <v>287</v>
      </c>
      <c r="G34" s="365">
        <f>TRUNC(MEDIAN(D36:F36),2)</f>
        <v>406.52</v>
      </c>
    </row>
    <row r="35" spans="1:7" x14ac:dyDescent="0.3">
      <c r="A35" s="357"/>
      <c r="B35" s="376"/>
      <c r="C35" s="363"/>
      <c r="D35" s="98" t="s">
        <v>446</v>
      </c>
      <c r="E35" s="98" t="s">
        <v>450</v>
      </c>
      <c r="F35" s="98" t="s">
        <v>290</v>
      </c>
      <c r="G35" s="366"/>
    </row>
    <row r="36" spans="1:7" ht="15" thickBot="1" x14ac:dyDescent="0.35">
      <c r="A36" s="358"/>
      <c r="B36" s="377"/>
      <c r="C36" s="364"/>
      <c r="D36" s="99">
        <v>679.79</v>
      </c>
      <c r="E36" s="99">
        <v>406.52</v>
      </c>
      <c r="F36" s="99">
        <v>375.82</v>
      </c>
      <c r="G36" s="367"/>
    </row>
    <row r="37" spans="1:7" x14ac:dyDescent="0.3">
      <c r="A37" s="112"/>
      <c r="B37" s="103"/>
      <c r="C37" s="84"/>
      <c r="D37" s="82"/>
      <c r="E37" s="82"/>
      <c r="F37" s="104"/>
      <c r="G37" s="113"/>
    </row>
    <row r="38" spans="1:7" ht="15" customHeight="1" x14ac:dyDescent="0.3">
      <c r="A38" s="356" t="s">
        <v>101</v>
      </c>
      <c r="B38" s="376" t="s">
        <v>194</v>
      </c>
      <c r="C38" s="362" t="s">
        <v>13</v>
      </c>
      <c r="D38" s="98" t="s">
        <v>287</v>
      </c>
      <c r="E38" s="98" t="s">
        <v>447</v>
      </c>
      <c r="F38" s="98" t="s">
        <v>448</v>
      </c>
      <c r="G38" s="365">
        <f>TRUNC(MEDIAN(D40:F40),2)</f>
        <v>78.400000000000006</v>
      </c>
    </row>
    <row r="39" spans="1:7" x14ac:dyDescent="0.3">
      <c r="A39" s="357"/>
      <c r="B39" s="376"/>
      <c r="C39" s="363"/>
      <c r="D39" s="98" t="s">
        <v>290</v>
      </c>
      <c r="E39" s="98" t="s">
        <v>449</v>
      </c>
      <c r="F39" s="98" t="s">
        <v>450</v>
      </c>
      <c r="G39" s="366"/>
    </row>
    <row r="40" spans="1:7" ht="15" thickBot="1" x14ac:dyDescent="0.35">
      <c r="A40" s="358"/>
      <c r="B40" s="377"/>
      <c r="C40" s="364"/>
      <c r="D40" s="99">
        <v>84.92</v>
      </c>
      <c r="E40" s="99">
        <v>78.400000000000006</v>
      </c>
      <c r="F40" s="99">
        <v>67.72</v>
      </c>
      <c r="G40" s="367"/>
    </row>
    <row r="41" spans="1:7" x14ac:dyDescent="0.3">
      <c r="A41" s="112"/>
      <c r="B41" s="103"/>
      <c r="C41" s="84"/>
      <c r="D41" s="82"/>
      <c r="E41" s="82"/>
      <c r="F41" s="104"/>
      <c r="G41" s="113"/>
    </row>
    <row r="42" spans="1:7" ht="15" customHeight="1" x14ac:dyDescent="0.3">
      <c r="A42" s="356" t="s">
        <v>102</v>
      </c>
      <c r="B42" s="371" t="s">
        <v>197</v>
      </c>
      <c r="C42" s="362" t="s">
        <v>13</v>
      </c>
      <c r="D42" s="98" t="s">
        <v>445</v>
      </c>
      <c r="E42" s="98" t="s">
        <v>456</v>
      </c>
      <c r="F42" s="98" t="s">
        <v>448</v>
      </c>
      <c r="G42" s="365">
        <f>TRUNC(MEDIAN(D44:F44),2)</f>
        <v>28.33</v>
      </c>
    </row>
    <row r="43" spans="1:7" x14ac:dyDescent="0.3">
      <c r="A43" s="357"/>
      <c r="B43" s="372"/>
      <c r="C43" s="363"/>
      <c r="D43" s="98" t="s">
        <v>446</v>
      </c>
      <c r="E43" s="98" t="s">
        <v>457</v>
      </c>
      <c r="F43" s="98" t="s">
        <v>450</v>
      </c>
      <c r="G43" s="366"/>
    </row>
    <row r="44" spans="1:7" ht="15" thickBot="1" x14ac:dyDescent="0.35">
      <c r="A44" s="358"/>
      <c r="B44" s="373"/>
      <c r="C44" s="364"/>
      <c r="D44" s="99">
        <v>28.33</v>
      </c>
      <c r="E44" s="99">
        <v>27.21</v>
      </c>
      <c r="F44" s="99">
        <v>28.68</v>
      </c>
      <c r="G44" s="367"/>
    </row>
    <row r="45" spans="1:7" x14ac:dyDescent="0.3">
      <c r="A45" s="112"/>
      <c r="B45" s="103"/>
      <c r="C45" s="84"/>
      <c r="D45" s="82"/>
      <c r="E45" s="82"/>
      <c r="F45" s="104"/>
      <c r="G45" s="113"/>
    </row>
    <row r="46" spans="1:7" ht="15" customHeight="1" x14ac:dyDescent="0.3">
      <c r="A46" s="356" t="s">
        <v>103</v>
      </c>
      <c r="B46" s="371" t="s">
        <v>198</v>
      </c>
      <c r="C46" s="362" t="s">
        <v>13</v>
      </c>
      <c r="D46" s="98" t="s">
        <v>445</v>
      </c>
      <c r="E46" s="98" t="s">
        <v>447</v>
      </c>
      <c r="F46" s="98" t="s">
        <v>448</v>
      </c>
      <c r="G46" s="365">
        <f>TRUNC(MEDIAN(D48:F48),2)</f>
        <v>71.13</v>
      </c>
    </row>
    <row r="47" spans="1:7" x14ac:dyDescent="0.3">
      <c r="A47" s="357"/>
      <c r="B47" s="372"/>
      <c r="C47" s="363"/>
      <c r="D47" s="98" t="s">
        <v>446</v>
      </c>
      <c r="E47" s="98" t="s">
        <v>449</v>
      </c>
      <c r="F47" s="98" t="s">
        <v>450</v>
      </c>
      <c r="G47" s="366"/>
    </row>
    <row r="48" spans="1:7" ht="15" thickBot="1" x14ac:dyDescent="0.35">
      <c r="A48" s="358"/>
      <c r="B48" s="373"/>
      <c r="C48" s="364"/>
      <c r="D48" s="99">
        <v>71.13</v>
      </c>
      <c r="E48" s="99">
        <v>84.9</v>
      </c>
      <c r="F48" s="99">
        <v>55.85</v>
      </c>
      <c r="G48" s="367"/>
    </row>
    <row r="49" spans="1:7" x14ac:dyDescent="0.3">
      <c r="A49" s="112"/>
      <c r="B49" s="103"/>
      <c r="C49" s="84"/>
      <c r="D49" s="82"/>
      <c r="E49" s="82"/>
      <c r="F49" s="104"/>
      <c r="G49" s="113"/>
    </row>
    <row r="50" spans="1:7" ht="15" customHeight="1" x14ac:dyDescent="0.3">
      <c r="A50" s="356" t="s">
        <v>104</v>
      </c>
      <c r="B50" s="371" t="s">
        <v>201</v>
      </c>
      <c r="C50" s="362" t="s">
        <v>13</v>
      </c>
      <c r="D50" s="98" t="s">
        <v>445</v>
      </c>
      <c r="E50" s="98" t="s">
        <v>447</v>
      </c>
      <c r="F50" s="98" t="s">
        <v>448</v>
      </c>
      <c r="G50" s="365">
        <f>TRUNC(MEDIAN(D52:F52),2)</f>
        <v>8.48</v>
      </c>
    </row>
    <row r="51" spans="1:7" x14ac:dyDescent="0.3">
      <c r="A51" s="357"/>
      <c r="B51" s="372"/>
      <c r="C51" s="363"/>
      <c r="D51" s="98" t="s">
        <v>446</v>
      </c>
      <c r="E51" s="98" t="s">
        <v>449</v>
      </c>
      <c r="F51" s="98" t="s">
        <v>450</v>
      </c>
      <c r="G51" s="366"/>
    </row>
    <row r="52" spans="1:7" ht="15" thickBot="1" x14ac:dyDescent="0.35">
      <c r="A52" s="358"/>
      <c r="B52" s="373"/>
      <c r="C52" s="364"/>
      <c r="D52" s="99">
        <v>13.21</v>
      </c>
      <c r="E52" s="99">
        <v>8.15</v>
      </c>
      <c r="F52" s="99">
        <v>8.48</v>
      </c>
      <c r="G52" s="367"/>
    </row>
    <row r="53" spans="1:7" x14ac:dyDescent="0.3">
      <c r="A53" s="112"/>
      <c r="B53" s="103"/>
      <c r="C53" s="84"/>
      <c r="D53" s="82"/>
      <c r="E53" s="82"/>
      <c r="F53" s="104"/>
      <c r="G53" s="113"/>
    </row>
    <row r="54" spans="1:7" ht="15" customHeight="1" x14ac:dyDescent="0.3">
      <c r="A54" s="356" t="s">
        <v>105</v>
      </c>
      <c r="B54" s="371" t="s">
        <v>204</v>
      </c>
      <c r="C54" s="362" t="s">
        <v>13</v>
      </c>
      <c r="D54" s="98" t="s">
        <v>287</v>
      </c>
      <c r="E54" s="98" t="s">
        <v>448</v>
      </c>
      <c r="F54" s="98" t="s">
        <v>445</v>
      </c>
      <c r="G54" s="365">
        <f>TRUNC(MEDIAN(D56:F56),2)</f>
        <v>621.97</v>
      </c>
    </row>
    <row r="55" spans="1:7" x14ac:dyDescent="0.3">
      <c r="A55" s="357"/>
      <c r="B55" s="372"/>
      <c r="C55" s="363"/>
      <c r="D55" s="98" t="s">
        <v>290</v>
      </c>
      <c r="E55" s="98" t="s">
        <v>450</v>
      </c>
      <c r="F55" s="98" t="s">
        <v>446</v>
      </c>
      <c r="G55" s="366"/>
    </row>
    <row r="56" spans="1:7" ht="15" thickBot="1" x14ac:dyDescent="0.35">
      <c r="A56" s="358"/>
      <c r="B56" s="373"/>
      <c r="C56" s="364"/>
      <c r="D56" s="99">
        <v>645.82000000000005</v>
      </c>
      <c r="E56" s="99">
        <v>404.04</v>
      </c>
      <c r="F56" s="99">
        <v>621.97</v>
      </c>
      <c r="G56" s="367"/>
    </row>
    <row r="57" spans="1:7" x14ac:dyDescent="0.3">
      <c r="A57" s="112"/>
      <c r="B57" s="103"/>
      <c r="C57" s="84"/>
      <c r="D57" s="82"/>
      <c r="E57" s="82"/>
      <c r="F57" s="104"/>
      <c r="G57" s="113"/>
    </row>
    <row r="58" spans="1:7" ht="15" customHeight="1" x14ac:dyDescent="0.3">
      <c r="A58" s="356" t="s">
        <v>132</v>
      </c>
      <c r="B58" s="371" t="s">
        <v>205</v>
      </c>
      <c r="C58" s="362" t="s">
        <v>13</v>
      </c>
      <c r="D58" s="98" t="s">
        <v>448</v>
      </c>
      <c r="E58" s="98" t="s">
        <v>448</v>
      </c>
      <c r="F58" s="98" t="s">
        <v>287</v>
      </c>
      <c r="G58" s="365">
        <f>TRUNC(MEDIAN(D60:F60),2)</f>
        <v>1177.31</v>
      </c>
    </row>
    <row r="59" spans="1:7" x14ac:dyDescent="0.3">
      <c r="A59" s="357"/>
      <c r="B59" s="372"/>
      <c r="C59" s="363"/>
      <c r="D59" s="98" t="s">
        <v>450</v>
      </c>
      <c r="E59" s="98" t="s">
        <v>450</v>
      </c>
      <c r="F59" s="98" t="s">
        <v>290</v>
      </c>
      <c r="G59" s="366"/>
    </row>
    <row r="60" spans="1:7" ht="15" thickBot="1" x14ac:dyDescent="0.35">
      <c r="A60" s="358"/>
      <c r="B60" s="373"/>
      <c r="C60" s="364"/>
      <c r="D60" s="99">
        <v>1177.31</v>
      </c>
      <c r="E60" s="99">
        <v>1142.33</v>
      </c>
      <c r="F60" s="99">
        <v>1904.1</v>
      </c>
      <c r="G60" s="367"/>
    </row>
    <row r="61" spans="1:7" x14ac:dyDescent="0.3">
      <c r="A61" s="112"/>
      <c r="B61" s="103"/>
      <c r="C61" s="84"/>
      <c r="D61" s="82"/>
      <c r="E61" s="82"/>
      <c r="F61" s="104"/>
      <c r="G61" s="113"/>
    </row>
    <row r="62" spans="1:7" ht="15" customHeight="1" x14ac:dyDescent="0.3">
      <c r="A62" s="356" t="s">
        <v>135</v>
      </c>
      <c r="B62" s="371" t="s">
        <v>207</v>
      </c>
      <c r="C62" s="362" t="s">
        <v>13</v>
      </c>
      <c r="D62" s="98" t="s">
        <v>445</v>
      </c>
      <c r="E62" s="98" t="s">
        <v>447</v>
      </c>
      <c r="F62" s="98" t="s">
        <v>448</v>
      </c>
      <c r="G62" s="365">
        <f>TRUNC(MEDIAN(D64:F64),2)</f>
        <v>234.66</v>
      </c>
    </row>
    <row r="63" spans="1:7" x14ac:dyDescent="0.3">
      <c r="A63" s="357"/>
      <c r="B63" s="372"/>
      <c r="C63" s="363"/>
      <c r="D63" s="98" t="s">
        <v>446</v>
      </c>
      <c r="E63" s="98" t="s">
        <v>449</v>
      </c>
      <c r="F63" s="98" t="s">
        <v>450</v>
      </c>
      <c r="G63" s="366"/>
    </row>
    <row r="64" spans="1:7" ht="15" thickBot="1" x14ac:dyDescent="0.35">
      <c r="A64" s="358"/>
      <c r="B64" s="373"/>
      <c r="C64" s="364"/>
      <c r="D64" s="99">
        <v>234.66</v>
      </c>
      <c r="E64" s="99">
        <v>276.36</v>
      </c>
      <c r="F64" s="99">
        <v>208.91</v>
      </c>
      <c r="G64" s="367"/>
    </row>
    <row r="65" spans="1:7" x14ac:dyDescent="0.3">
      <c r="A65" s="112"/>
      <c r="B65" s="103"/>
      <c r="C65" s="84"/>
      <c r="D65" s="82"/>
      <c r="E65" s="82"/>
      <c r="F65" s="104"/>
      <c r="G65" s="113"/>
    </row>
    <row r="66" spans="1:7" ht="15" customHeight="1" x14ac:dyDescent="0.3">
      <c r="A66" s="356" t="s">
        <v>137</v>
      </c>
      <c r="B66" s="371" t="s">
        <v>462</v>
      </c>
      <c r="C66" s="362" t="s">
        <v>13</v>
      </c>
      <c r="D66" s="98" t="s">
        <v>448</v>
      </c>
      <c r="E66" s="98" t="s">
        <v>456</v>
      </c>
      <c r="F66" s="98" t="s">
        <v>447</v>
      </c>
      <c r="G66" s="365">
        <f>TRUNC(MEDIAN(D68:F68),2)</f>
        <v>1836</v>
      </c>
    </row>
    <row r="67" spans="1:7" x14ac:dyDescent="0.3">
      <c r="A67" s="357"/>
      <c r="B67" s="372"/>
      <c r="C67" s="363"/>
      <c r="D67" s="98" t="s">
        <v>450</v>
      </c>
      <c r="E67" s="98" t="s">
        <v>457</v>
      </c>
      <c r="F67" s="98" t="s">
        <v>449</v>
      </c>
      <c r="G67" s="366"/>
    </row>
    <row r="68" spans="1:7" ht="15" thickBot="1" x14ac:dyDescent="0.35">
      <c r="A68" s="358"/>
      <c r="B68" s="373"/>
      <c r="C68" s="364"/>
      <c r="D68" s="99">
        <v>2048.9</v>
      </c>
      <c r="E68" s="99">
        <v>1654.88</v>
      </c>
      <c r="F68" s="99">
        <v>1836</v>
      </c>
      <c r="G68" s="367"/>
    </row>
    <row r="69" spans="1:7" x14ac:dyDescent="0.3">
      <c r="A69" s="112"/>
      <c r="B69" s="103"/>
      <c r="C69" s="84"/>
      <c r="D69" s="82"/>
      <c r="E69" s="82"/>
      <c r="F69" s="104"/>
      <c r="G69" s="113"/>
    </row>
    <row r="70" spans="1:7" ht="15" customHeight="1" x14ac:dyDescent="0.3">
      <c r="A70" s="356" t="s">
        <v>140</v>
      </c>
      <c r="B70" s="371" t="s">
        <v>461</v>
      </c>
      <c r="C70" s="362" t="s">
        <v>13</v>
      </c>
      <c r="D70" s="98" t="s">
        <v>448</v>
      </c>
      <c r="E70" s="98" t="s">
        <v>447</v>
      </c>
      <c r="F70" s="98" t="s">
        <v>456</v>
      </c>
      <c r="G70" s="365">
        <f>TRUNC(MEDIAN(D72:F72),2)</f>
        <v>547.46</v>
      </c>
    </row>
    <row r="71" spans="1:7" x14ac:dyDescent="0.3">
      <c r="A71" s="357"/>
      <c r="B71" s="372"/>
      <c r="C71" s="363"/>
      <c r="D71" s="98" t="s">
        <v>450</v>
      </c>
      <c r="E71" s="98" t="s">
        <v>449</v>
      </c>
      <c r="F71" s="98" t="s">
        <v>457</v>
      </c>
      <c r="G71" s="366"/>
    </row>
    <row r="72" spans="1:7" ht="15" thickBot="1" x14ac:dyDescent="0.35">
      <c r="A72" s="358"/>
      <c r="B72" s="373"/>
      <c r="C72" s="364"/>
      <c r="D72" s="99">
        <v>547.46</v>
      </c>
      <c r="E72" s="99">
        <v>578.19000000000005</v>
      </c>
      <c r="F72" s="99">
        <v>521.39</v>
      </c>
      <c r="G72" s="367"/>
    </row>
    <row r="73" spans="1:7" x14ac:dyDescent="0.3">
      <c r="A73" s="112"/>
      <c r="B73" s="103"/>
      <c r="C73" s="84"/>
      <c r="D73" s="82"/>
      <c r="E73" s="82"/>
      <c r="F73" s="104"/>
      <c r="G73" s="113"/>
    </row>
    <row r="74" spans="1:7" ht="15" customHeight="1" x14ac:dyDescent="0.3">
      <c r="A74" s="356" t="s">
        <v>142</v>
      </c>
      <c r="B74" s="371" t="s">
        <v>224</v>
      </c>
      <c r="C74" s="362" t="s">
        <v>13</v>
      </c>
      <c r="D74" s="98" t="s">
        <v>447</v>
      </c>
      <c r="E74" s="98" t="s">
        <v>451</v>
      </c>
      <c r="F74" s="98" t="s">
        <v>474</v>
      </c>
      <c r="G74" s="365">
        <f>TRUNC(MEDIAN(D76:F76),2)</f>
        <v>730.72</v>
      </c>
    </row>
    <row r="75" spans="1:7" x14ac:dyDescent="0.3">
      <c r="A75" s="357"/>
      <c r="B75" s="372"/>
      <c r="C75" s="363"/>
      <c r="D75" s="98" t="s">
        <v>449</v>
      </c>
      <c r="E75" s="98" t="s">
        <v>452</v>
      </c>
      <c r="F75" s="98" t="s">
        <v>475</v>
      </c>
      <c r="G75" s="366"/>
    </row>
    <row r="76" spans="1:7" ht="15" thickBot="1" x14ac:dyDescent="0.35">
      <c r="A76" s="358"/>
      <c r="B76" s="373"/>
      <c r="C76" s="364"/>
      <c r="D76" s="99">
        <v>730.72</v>
      </c>
      <c r="E76" s="99">
        <v>695</v>
      </c>
      <c r="F76" s="99">
        <v>999</v>
      </c>
      <c r="G76" s="367"/>
    </row>
    <row r="77" spans="1:7" x14ac:dyDescent="0.3">
      <c r="A77" s="112"/>
      <c r="B77" s="103"/>
      <c r="C77" s="84"/>
      <c r="D77" s="82"/>
      <c r="E77" s="82"/>
      <c r="F77" s="104"/>
      <c r="G77" s="113"/>
    </row>
    <row r="78" spans="1:7" ht="15" customHeight="1" x14ac:dyDescent="0.3">
      <c r="A78" s="356" t="s">
        <v>148</v>
      </c>
      <c r="B78" s="371" t="s">
        <v>226</v>
      </c>
      <c r="C78" s="362" t="s">
        <v>13</v>
      </c>
      <c r="D78" s="98" t="s">
        <v>445</v>
      </c>
      <c r="E78" s="98" t="s">
        <v>448</v>
      </c>
      <c r="F78" s="98" t="s">
        <v>456</v>
      </c>
      <c r="G78" s="365">
        <f>TRUNC(MEDIAN(D80:F80),2)</f>
        <v>4476.91</v>
      </c>
    </row>
    <row r="79" spans="1:7" x14ac:dyDescent="0.3">
      <c r="A79" s="357"/>
      <c r="B79" s="372"/>
      <c r="C79" s="363"/>
      <c r="D79" s="98" t="s">
        <v>446</v>
      </c>
      <c r="E79" s="98" t="s">
        <v>450</v>
      </c>
      <c r="F79" s="98" t="s">
        <v>457</v>
      </c>
      <c r="G79" s="366"/>
    </row>
    <row r="80" spans="1:7" ht="15" thickBot="1" x14ac:dyDescent="0.35">
      <c r="A80" s="358"/>
      <c r="B80" s="373"/>
      <c r="C80" s="364"/>
      <c r="D80" s="99">
        <v>5278.9</v>
      </c>
      <c r="E80" s="99">
        <v>4476.91</v>
      </c>
      <c r="F80" s="99">
        <v>4476.91</v>
      </c>
      <c r="G80" s="367"/>
    </row>
    <row r="81" spans="1:7" x14ac:dyDescent="0.3">
      <c r="A81" s="112"/>
      <c r="B81" s="103"/>
      <c r="C81" s="84"/>
      <c r="D81" s="82"/>
      <c r="E81" s="82"/>
      <c r="F81" s="104"/>
      <c r="G81" s="113"/>
    </row>
    <row r="82" spans="1:7" ht="15" customHeight="1" x14ac:dyDescent="0.3">
      <c r="A82" s="356" t="s">
        <v>149</v>
      </c>
      <c r="B82" s="371" t="s">
        <v>228</v>
      </c>
      <c r="C82" s="362" t="s">
        <v>13</v>
      </c>
      <c r="D82" s="98" t="s">
        <v>445</v>
      </c>
      <c r="E82" s="98" t="s">
        <v>447</v>
      </c>
      <c r="F82" s="98" t="s">
        <v>456</v>
      </c>
      <c r="G82" s="365">
        <f>TRUNC(MEDIAN(D84:F84),2)</f>
        <v>927.27</v>
      </c>
    </row>
    <row r="83" spans="1:7" x14ac:dyDescent="0.3">
      <c r="A83" s="357"/>
      <c r="B83" s="372"/>
      <c r="C83" s="363"/>
      <c r="D83" s="98" t="s">
        <v>446</v>
      </c>
      <c r="E83" s="98" t="s">
        <v>449</v>
      </c>
      <c r="F83" s="98" t="s">
        <v>457</v>
      </c>
      <c r="G83" s="366"/>
    </row>
    <row r="84" spans="1:7" ht="15" thickBot="1" x14ac:dyDescent="0.35">
      <c r="A84" s="358"/>
      <c r="B84" s="373"/>
      <c r="C84" s="364"/>
      <c r="D84" s="99">
        <v>1235.52</v>
      </c>
      <c r="E84" s="99">
        <v>927.27</v>
      </c>
      <c r="F84" s="99">
        <v>891.74</v>
      </c>
      <c r="G84" s="367"/>
    </row>
    <row r="85" spans="1:7" x14ac:dyDescent="0.3">
      <c r="A85" s="112"/>
      <c r="B85" s="103"/>
      <c r="C85" s="84"/>
      <c r="D85" s="82"/>
      <c r="E85" s="82"/>
      <c r="F85" s="104"/>
      <c r="G85" s="113"/>
    </row>
    <row r="86" spans="1:7" ht="15" customHeight="1" x14ac:dyDescent="0.3">
      <c r="A86" s="356" t="s">
        <v>150</v>
      </c>
      <c r="B86" s="371" t="s">
        <v>210</v>
      </c>
      <c r="C86" s="362" t="s">
        <v>33</v>
      </c>
      <c r="D86" s="98" t="s">
        <v>445</v>
      </c>
      <c r="E86" s="98" t="s">
        <v>447</v>
      </c>
      <c r="F86" s="98" t="s">
        <v>448</v>
      </c>
      <c r="G86" s="365">
        <f>TRUNC(MEDIAN(D88:F88),2)</f>
        <v>2.0099999999999998</v>
      </c>
    </row>
    <row r="87" spans="1:7" x14ac:dyDescent="0.3">
      <c r="A87" s="357"/>
      <c r="B87" s="372"/>
      <c r="C87" s="363"/>
      <c r="D87" s="98" t="s">
        <v>446</v>
      </c>
      <c r="E87" s="98" t="s">
        <v>449</v>
      </c>
      <c r="F87" s="98" t="s">
        <v>450</v>
      </c>
      <c r="G87" s="366"/>
    </row>
    <row r="88" spans="1:7" ht="15" thickBot="1" x14ac:dyDescent="0.35">
      <c r="A88" s="358"/>
      <c r="B88" s="373"/>
      <c r="C88" s="364"/>
      <c r="D88" s="99">
        <v>2.5099999999999998</v>
      </c>
      <c r="E88" s="99">
        <v>2.0099999999999998</v>
      </c>
      <c r="F88" s="99">
        <v>1.9</v>
      </c>
      <c r="G88" s="367"/>
    </row>
    <row r="89" spans="1:7" x14ac:dyDescent="0.3">
      <c r="A89" s="112"/>
      <c r="B89" s="103"/>
      <c r="C89" s="84"/>
      <c r="D89" s="82"/>
      <c r="E89" s="82"/>
      <c r="F89" s="104"/>
      <c r="G89" s="113"/>
    </row>
    <row r="90" spans="1:7" ht="15" customHeight="1" x14ac:dyDescent="0.3">
      <c r="A90" s="356" t="s">
        <v>151</v>
      </c>
      <c r="B90" s="368" t="s">
        <v>213</v>
      </c>
      <c r="C90" s="362" t="s">
        <v>33</v>
      </c>
      <c r="D90" s="98" t="s">
        <v>481</v>
      </c>
      <c r="E90" s="98" t="s">
        <v>528</v>
      </c>
      <c r="F90" s="98"/>
      <c r="G90" s="365">
        <f>TRUNC(MEDIAN(D92:F92),2)</f>
        <v>13.12</v>
      </c>
    </row>
    <row r="91" spans="1:7" x14ac:dyDescent="0.3">
      <c r="A91" s="357"/>
      <c r="B91" s="369"/>
      <c r="C91" s="363"/>
      <c r="D91" s="98" t="s">
        <v>482</v>
      </c>
      <c r="E91" s="98" t="s">
        <v>529</v>
      </c>
      <c r="F91" s="98"/>
      <c r="G91" s="366"/>
    </row>
    <row r="92" spans="1:7" ht="15" thickBot="1" x14ac:dyDescent="0.35">
      <c r="A92" s="358"/>
      <c r="B92" s="370"/>
      <c r="C92" s="364"/>
      <c r="D92" s="99">
        <f>23537.15/3000</f>
        <v>7.8457166666666671</v>
      </c>
      <c r="E92" s="99">
        <v>18.399999999999999</v>
      </c>
      <c r="F92" s="99"/>
      <c r="G92" s="367"/>
    </row>
    <row r="93" spans="1:7" x14ac:dyDescent="0.3">
      <c r="A93" s="112"/>
      <c r="B93" s="103"/>
      <c r="C93" s="84"/>
      <c r="D93" s="82"/>
      <c r="E93" s="82"/>
      <c r="F93" s="104"/>
      <c r="G93" s="113"/>
    </row>
    <row r="94" spans="1:7" ht="15" customHeight="1" x14ac:dyDescent="0.3">
      <c r="A94" s="356" t="s">
        <v>180</v>
      </c>
      <c r="B94" s="371" t="s">
        <v>214</v>
      </c>
      <c r="C94" s="362" t="s">
        <v>13</v>
      </c>
      <c r="D94" s="98" t="s">
        <v>445</v>
      </c>
      <c r="E94" s="98" t="s">
        <v>287</v>
      </c>
      <c r="F94" s="98" t="s">
        <v>447</v>
      </c>
      <c r="G94" s="365">
        <f>TRUNC(MEDIAN(D96:F96),2)</f>
        <v>15.95</v>
      </c>
    </row>
    <row r="95" spans="1:7" x14ac:dyDescent="0.3">
      <c r="A95" s="357"/>
      <c r="B95" s="372"/>
      <c r="C95" s="363"/>
      <c r="D95" s="98" t="s">
        <v>446</v>
      </c>
      <c r="E95" s="98" t="s">
        <v>290</v>
      </c>
      <c r="F95" s="98" t="s">
        <v>449</v>
      </c>
      <c r="G95" s="366"/>
    </row>
    <row r="96" spans="1:7" ht="15" thickBot="1" x14ac:dyDescent="0.35">
      <c r="A96" s="358"/>
      <c r="B96" s="373"/>
      <c r="C96" s="364"/>
      <c r="D96" s="99">
        <v>17.5</v>
      </c>
      <c r="E96" s="99">
        <v>13.36</v>
      </c>
      <c r="F96" s="99">
        <v>15.95</v>
      </c>
      <c r="G96" s="367"/>
    </row>
    <row r="97" spans="1:7" x14ac:dyDescent="0.3">
      <c r="A97" s="112"/>
      <c r="B97" s="103"/>
      <c r="C97" s="84"/>
      <c r="D97" s="82"/>
      <c r="E97" s="82"/>
      <c r="F97" s="104"/>
      <c r="G97" s="113"/>
    </row>
    <row r="98" spans="1:7" ht="15" customHeight="1" x14ac:dyDescent="0.3">
      <c r="A98" s="356" t="s">
        <v>152</v>
      </c>
      <c r="B98" s="371" t="s">
        <v>575</v>
      </c>
      <c r="C98" s="362" t="s">
        <v>13</v>
      </c>
      <c r="D98" s="98" t="s">
        <v>576</v>
      </c>
      <c r="E98" s="98" t="s">
        <v>447</v>
      </c>
      <c r="F98" s="98"/>
      <c r="G98" s="365">
        <f>TRUNC(MEDIAN(D100:F100),2)</f>
        <v>0.26</v>
      </c>
    </row>
    <row r="99" spans="1:7" x14ac:dyDescent="0.3">
      <c r="A99" s="357"/>
      <c r="B99" s="372"/>
      <c r="C99" s="363"/>
      <c r="D99" s="98" t="s">
        <v>577</v>
      </c>
      <c r="E99" s="98" t="s">
        <v>449</v>
      </c>
      <c r="F99" s="98"/>
      <c r="G99" s="366"/>
    </row>
    <row r="100" spans="1:7" ht="15" thickBot="1" x14ac:dyDescent="0.35">
      <c r="A100" s="358"/>
      <c r="B100" s="373"/>
      <c r="C100" s="364"/>
      <c r="D100" s="99">
        <v>0.31</v>
      </c>
      <c r="E100" s="99">
        <v>0.22</v>
      </c>
      <c r="F100" s="99"/>
      <c r="G100" s="367"/>
    </row>
    <row r="101" spans="1:7" x14ac:dyDescent="0.3">
      <c r="A101" s="112"/>
      <c r="B101" s="103"/>
      <c r="C101" s="84"/>
      <c r="D101" s="82"/>
      <c r="E101" s="82"/>
      <c r="F101" s="104"/>
      <c r="G101" s="113"/>
    </row>
    <row r="102" spans="1:7" ht="15" customHeight="1" x14ac:dyDescent="0.3">
      <c r="A102" s="356" t="s">
        <v>155</v>
      </c>
      <c r="B102" s="371" t="s">
        <v>235</v>
      </c>
      <c r="C102" s="362" t="s">
        <v>13</v>
      </c>
      <c r="D102" s="98" t="s">
        <v>458</v>
      </c>
      <c r="E102" s="98" t="s">
        <v>467</v>
      </c>
      <c r="F102" s="98" t="s">
        <v>472</v>
      </c>
      <c r="G102" s="365">
        <f>TRUNC(MEDIAN(D104:F104),2)</f>
        <v>7.3</v>
      </c>
    </row>
    <row r="103" spans="1:7" x14ac:dyDescent="0.3">
      <c r="A103" s="357"/>
      <c r="B103" s="372"/>
      <c r="C103" s="363"/>
      <c r="D103" s="98" t="s">
        <v>459</v>
      </c>
      <c r="E103" s="98" t="s">
        <v>468</v>
      </c>
      <c r="F103" s="98" t="s">
        <v>473</v>
      </c>
      <c r="G103" s="366"/>
    </row>
    <row r="104" spans="1:7" ht="15" thickBot="1" x14ac:dyDescent="0.35">
      <c r="A104" s="358"/>
      <c r="B104" s="373"/>
      <c r="C104" s="364"/>
      <c r="D104" s="99">
        <v>7.3</v>
      </c>
      <c r="E104" s="99">
        <v>3.4</v>
      </c>
      <c r="F104" s="99">
        <v>8.5500000000000007</v>
      </c>
      <c r="G104" s="367"/>
    </row>
    <row r="105" spans="1:7" x14ac:dyDescent="0.3">
      <c r="A105" s="112"/>
      <c r="B105" s="103"/>
      <c r="C105" s="84"/>
      <c r="D105" s="82"/>
      <c r="E105" s="82"/>
      <c r="F105" s="104"/>
      <c r="G105" s="113"/>
    </row>
    <row r="106" spans="1:7" ht="15" customHeight="1" x14ac:dyDescent="0.3">
      <c r="A106" s="356" t="s">
        <v>161</v>
      </c>
      <c r="B106" s="371" t="s">
        <v>229</v>
      </c>
      <c r="C106" s="362" t="s">
        <v>13</v>
      </c>
      <c r="D106" s="98" t="s">
        <v>467</v>
      </c>
      <c r="E106" s="98" t="s">
        <v>477</v>
      </c>
      <c r="F106" s="98" t="s">
        <v>479</v>
      </c>
      <c r="G106" s="365">
        <f>TRUNC(MEDIAN(D108:F108),2)</f>
        <v>4.4000000000000004</v>
      </c>
    </row>
    <row r="107" spans="1:7" x14ac:dyDescent="0.3">
      <c r="A107" s="357"/>
      <c r="B107" s="372"/>
      <c r="C107" s="363"/>
      <c r="D107" s="98" t="s">
        <v>468</v>
      </c>
      <c r="E107" s="98" t="s">
        <v>478</v>
      </c>
      <c r="F107" s="98" t="s">
        <v>480</v>
      </c>
      <c r="G107" s="366"/>
    </row>
    <row r="108" spans="1:7" ht="15" thickBot="1" x14ac:dyDescent="0.35">
      <c r="A108" s="358"/>
      <c r="B108" s="373"/>
      <c r="C108" s="364"/>
      <c r="D108" s="99">
        <v>4.34</v>
      </c>
      <c r="E108" s="99">
        <v>4.4000000000000004</v>
      </c>
      <c r="F108" s="99">
        <v>4.7030000000000003</v>
      </c>
      <c r="G108" s="367"/>
    </row>
    <row r="109" spans="1:7" x14ac:dyDescent="0.3">
      <c r="A109" s="112"/>
      <c r="B109" s="103"/>
      <c r="C109" s="84"/>
      <c r="D109" s="82"/>
      <c r="E109" s="82"/>
      <c r="F109" s="104"/>
      <c r="G109" s="113"/>
    </row>
    <row r="110" spans="1:7" ht="15" customHeight="1" x14ac:dyDescent="0.3">
      <c r="A110" s="356" t="s">
        <v>181</v>
      </c>
      <c r="B110" s="371" t="s">
        <v>231</v>
      </c>
      <c r="C110" s="362" t="s">
        <v>13</v>
      </c>
      <c r="D110" s="98" t="s">
        <v>177</v>
      </c>
      <c r="E110" s="98" t="s">
        <v>186</v>
      </c>
      <c r="F110" s="98" t="s">
        <v>458</v>
      </c>
      <c r="G110" s="365">
        <f>TRUNC(MEDIAN(D112:F112),2)</f>
        <v>3.67</v>
      </c>
    </row>
    <row r="111" spans="1:7" x14ac:dyDescent="0.3">
      <c r="A111" s="357"/>
      <c r="B111" s="372"/>
      <c r="C111" s="363"/>
      <c r="D111" s="98" t="s">
        <v>178</v>
      </c>
      <c r="E111" s="98" t="s">
        <v>187</v>
      </c>
      <c r="F111" s="98" t="s">
        <v>459</v>
      </c>
      <c r="G111" s="366"/>
    </row>
    <row r="112" spans="1:7" ht="15" thickBot="1" x14ac:dyDescent="0.35">
      <c r="A112" s="358"/>
      <c r="B112" s="373"/>
      <c r="C112" s="364"/>
      <c r="D112" s="99">
        <v>2.0828000000000002</v>
      </c>
      <c r="E112" s="99">
        <v>3.67</v>
      </c>
      <c r="F112" s="99">
        <v>5.15</v>
      </c>
      <c r="G112" s="367"/>
    </row>
    <row r="113" spans="1:7" x14ac:dyDescent="0.3">
      <c r="A113" s="112"/>
      <c r="B113" s="103"/>
      <c r="C113" s="84"/>
      <c r="D113" s="82"/>
      <c r="E113" s="82"/>
      <c r="F113" s="104"/>
      <c r="G113" s="113"/>
    </row>
    <row r="114" spans="1:7" x14ac:dyDescent="0.3">
      <c r="A114" s="356" t="s">
        <v>182</v>
      </c>
      <c r="B114" s="359" t="s">
        <v>124</v>
      </c>
      <c r="C114" s="362" t="s">
        <v>13</v>
      </c>
      <c r="D114" s="98" t="s">
        <v>472</v>
      </c>
      <c r="E114" s="98" t="s">
        <v>477</v>
      </c>
      <c r="F114" s="98" t="s">
        <v>483</v>
      </c>
      <c r="G114" s="365">
        <f>TRUNC(MEDIAN(D116:F116),2)</f>
        <v>7.7</v>
      </c>
    </row>
    <row r="115" spans="1:7" x14ac:dyDescent="0.3">
      <c r="A115" s="357"/>
      <c r="B115" s="360"/>
      <c r="C115" s="363"/>
      <c r="D115" s="98" t="s">
        <v>473</v>
      </c>
      <c r="E115" s="98" t="s">
        <v>476</v>
      </c>
      <c r="F115" s="98" t="s">
        <v>484</v>
      </c>
      <c r="G115" s="366"/>
    </row>
    <row r="116" spans="1:7" ht="15" thickBot="1" x14ac:dyDescent="0.35">
      <c r="A116" s="358"/>
      <c r="B116" s="361"/>
      <c r="C116" s="364"/>
      <c r="D116" s="99">
        <v>9.6199999999999992</v>
      </c>
      <c r="E116" s="99">
        <v>7.7</v>
      </c>
      <c r="F116" s="99">
        <v>7.18</v>
      </c>
      <c r="G116" s="367"/>
    </row>
    <row r="117" spans="1:7" x14ac:dyDescent="0.3">
      <c r="A117" s="112"/>
      <c r="B117" s="103"/>
      <c r="C117" s="84"/>
      <c r="D117" s="82"/>
      <c r="E117" s="82"/>
      <c r="F117" s="104"/>
      <c r="G117" s="113"/>
    </row>
    <row r="118" spans="1:7" x14ac:dyDescent="0.3">
      <c r="A118" s="356" t="s">
        <v>184</v>
      </c>
      <c r="B118" s="359" t="s">
        <v>493</v>
      </c>
      <c r="C118" s="362" t="s">
        <v>13</v>
      </c>
      <c r="D118" s="98" t="s">
        <v>467</v>
      </c>
      <c r="E118" s="98" t="s">
        <v>177</v>
      </c>
      <c r="F118" s="98" t="s">
        <v>186</v>
      </c>
      <c r="G118" s="365">
        <f>TRUNC(MEDIAN(D120:F120),2)</f>
        <v>6.5</v>
      </c>
    </row>
    <row r="119" spans="1:7" x14ac:dyDescent="0.3">
      <c r="A119" s="357"/>
      <c r="B119" s="360"/>
      <c r="C119" s="363"/>
      <c r="D119" s="98" t="s">
        <v>523</v>
      </c>
      <c r="E119" s="98" t="s">
        <v>530</v>
      </c>
      <c r="F119" s="98" t="s">
        <v>531</v>
      </c>
      <c r="G119" s="366"/>
    </row>
    <row r="120" spans="1:7" ht="15" thickBot="1" x14ac:dyDescent="0.35">
      <c r="A120" s="358"/>
      <c r="B120" s="361"/>
      <c r="C120" s="364"/>
      <c r="D120" s="99">
        <v>6.5</v>
      </c>
      <c r="E120" s="99">
        <v>13.1</v>
      </c>
      <c r="F120" s="99">
        <v>6.36</v>
      </c>
      <c r="G120" s="367"/>
    </row>
    <row r="121" spans="1:7" x14ac:dyDescent="0.3">
      <c r="A121" s="112"/>
      <c r="B121" s="103"/>
      <c r="C121" s="84"/>
      <c r="D121" s="82"/>
      <c r="E121" s="82"/>
      <c r="F121" s="104"/>
      <c r="G121" s="113"/>
    </row>
    <row r="122" spans="1:7" x14ac:dyDescent="0.3">
      <c r="A122" s="356" t="s">
        <v>294</v>
      </c>
      <c r="B122" s="359" t="s">
        <v>494</v>
      </c>
      <c r="C122" s="362" t="s">
        <v>13</v>
      </c>
      <c r="D122" s="98" t="s">
        <v>177</v>
      </c>
      <c r="E122" s="98" t="s">
        <v>186</v>
      </c>
      <c r="F122" s="98" t="s">
        <v>467</v>
      </c>
      <c r="G122" s="365">
        <f>TRUNC(MEDIAN(D124:F124),2)</f>
        <v>7</v>
      </c>
    </row>
    <row r="123" spans="1:7" x14ac:dyDescent="0.3">
      <c r="A123" s="357"/>
      <c r="B123" s="360"/>
      <c r="C123" s="363"/>
      <c r="D123" s="98" t="s">
        <v>530</v>
      </c>
      <c r="E123" s="98" t="s">
        <v>531</v>
      </c>
      <c r="F123" s="98" t="s">
        <v>523</v>
      </c>
      <c r="G123" s="366"/>
    </row>
    <row r="124" spans="1:7" ht="15" thickBot="1" x14ac:dyDescent="0.35">
      <c r="A124" s="358"/>
      <c r="B124" s="361"/>
      <c r="C124" s="364"/>
      <c r="D124" s="99">
        <v>10.78</v>
      </c>
      <c r="E124" s="99">
        <v>7</v>
      </c>
      <c r="F124" s="99">
        <v>6.5</v>
      </c>
      <c r="G124" s="367"/>
    </row>
    <row r="125" spans="1:7" x14ac:dyDescent="0.3">
      <c r="A125" s="112"/>
      <c r="B125" s="103"/>
      <c r="C125" s="84"/>
      <c r="D125" s="82"/>
      <c r="E125" s="82"/>
      <c r="F125" s="104"/>
      <c r="G125" s="113"/>
    </row>
    <row r="126" spans="1:7" ht="15" customHeight="1" x14ac:dyDescent="0.3">
      <c r="A126" s="356" t="s">
        <v>295</v>
      </c>
      <c r="B126" s="371" t="s">
        <v>233</v>
      </c>
      <c r="C126" s="362" t="s">
        <v>13</v>
      </c>
      <c r="D126" s="98" t="s">
        <v>467</v>
      </c>
      <c r="E126" s="98" t="s">
        <v>458</v>
      </c>
      <c r="F126" s="98" t="s">
        <v>186</v>
      </c>
      <c r="G126" s="365">
        <f>TRUNC(MEDIAN(D128:F128),2)</f>
        <v>10</v>
      </c>
    </row>
    <row r="127" spans="1:7" x14ac:dyDescent="0.3">
      <c r="A127" s="357"/>
      <c r="B127" s="372"/>
      <c r="C127" s="363"/>
      <c r="D127" s="98" t="s">
        <v>468</v>
      </c>
      <c r="E127" s="98" t="s">
        <v>459</v>
      </c>
      <c r="F127" s="98" t="s">
        <v>531</v>
      </c>
      <c r="G127" s="366"/>
    </row>
    <row r="128" spans="1:7" ht="15" thickBot="1" x14ac:dyDescent="0.35">
      <c r="A128" s="358"/>
      <c r="B128" s="373"/>
      <c r="C128" s="364"/>
      <c r="D128" s="99">
        <v>6.64</v>
      </c>
      <c r="E128" s="99">
        <v>10.76</v>
      </c>
      <c r="F128" s="99">
        <v>10</v>
      </c>
      <c r="G128" s="367"/>
    </row>
    <row r="129" spans="1:7" x14ac:dyDescent="0.3">
      <c r="A129" s="112"/>
      <c r="B129" s="103"/>
      <c r="C129" s="84"/>
      <c r="D129" s="82"/>
      <c r="E129" s="82"/>
      <c r="F129" s="82"/>
      <c r="G129" s="113"/>
    </row>
    <row r="130" spans="1:7" x14ac:dyDescent="0.3">
      <c r="A130" s="356" t="s">
        <v>296</v>
      </c>
      <c r="B130" s="359" t="s">
        <v>136</v>
      </c>
      <c r="C130" s="362" t="s">
        <v>13</v>
      </c>
      <c r="D130" s="98" t="s">
        <v>458</v>
      </c>
      <c r="E130" s="98" t="s">
        <v>467</v>
      </c>
      <c r="F130" s="98" t="s">
        <v>477</v>
      </c>
      <c r="G130" s="365">
        <f>TRUNC(MEDIAN(D132:F132),2)</f>
        <v>7.36</v>
      </c>
    </row>
    <row r="131" spans="1:7" x14ac:dyDescent="0.3">
      <c r="A131" s="357"/>
      <c r="B131" s="360"/>
      <c r="C131" s="363"/>
      <c r="D131" s="98" t="s">
        <v>459</v>
      </c>
      <c r="E131" s="98" t="s">
        <v>468</v>
      </c>
      <c r="F131" s="98" t="s">
        <v>476</v>
      </c>
      <c r="G131" s="366"/>
    </row>
    <row r="132" spans="1:7" ht="15" thickBot="1" x14ac:dyDescent="0.35">
      <c r="A132" s="358"/>
      <c r="B132" s="361"/>
      <c r="C132" s="364"/>
      <c r="D132" s="99">
        <v>7.36</v>
      </c>
      <c r="E132" s="99">
        <v>4.4800000000000004</v>
      </c>
      <c r="F132" s="99">
        <v>8.8000000000000007</v>
      </c>
      <c r="G132" s="367"/>
    </row>
    <row r="133" spans="1:7" x14ac:dyDescent="0.3">
      <c r="A133" s="112"/>
      <c r="B133" s="103"/>
      <c r="C133" s="84"/>
      <c r="D133" s="82"/>
      <c r="E133" s="82"/>
      <c r="F133" s="104"/>
      <c r="G133" s="113"/>
    </row>
    <row r="134" spans="1:7" ht="15" customHeight="1" x14ac:dyDescent="0.3">
      <c r="A134" s="356" t="s">
        <v>297</v>
      </c>
      <c r="B134" s="371" t="s">
        <v>241</v>
      </c>
      <c r="C134" s="362" t="s">
        <v>33</v>
      </c>
      <c r="D134" s="98" t="s">
        <v>177</v>
      </c>
      <c r="E134" s="98" t="s">
        <v>467</v>
      </c>
      <c r="F134" s="98" t="s">
        <v>458</v>
      </c>
      <c r="G134" s="365">
        <f>TRUNC(MEDIAN(D136:F136),2)</f>
        <v>42.96</v>
      </c>
    </row>
    <row r="135" spans="1:7" x14ac:dyDescent="0.3">
      <c r="A135" s="357"/>
      <c r="B135" s="372"/>
      <c r="C135" s="363"/>
      <c r="D135" s="98" t="s">
        <v>178</v>
      </c>
      <c r="E135" s="98" t="s">
        <v>468</v>
      </c>
      <c r="F135" s="98" t="s">
        <v>459</v>
      </c>
      <c r="G135" s="366"/>
    </row>
    <row r="136" spans="1:7" ht="15" thickBot="1" x14ac:dyDescent="0.35">
      <c r="A136" s="358"/>
      <c r="B136" s="373"/>
      <c r="C136" s="364"/>
      <c r="D136" s="99">
        <f>95.94/3</f>
        <v>31.98</v>
      </c>
      <c r="E136" s="99">
        <f>139.65/3</f>
        <v>46.550000000000004</v>
      </c>
      <c r="F136" s="99">
        <f>128.89/3</f>
        <v>42.963333333333331</v>
      </c>
      <c r="G136" s="367"/>
    </row>
    <row r="137" spans="1:7" x14ac:dyDescent="0.3">
      <c r="A137" s="112"/>
      <c r="B137" s="103"/>
      <c r="C137" s="84"/>
      <c r="D137" s="82"/>
      <c r="E137" s="82"/>
      <c r="F137" s="104"/>
      <c r="G137" s="113"/>
    </row>
    <row r="138" spans="1:7" ht="15" customHeight="1" x14ac:dyDescent="0.3">
      <c r="A138" s="356" t="s">
        <v>298</v>
      </c>
      <c r="B138" s="371" t="s">
        <v>242</v>
      </c>
      <c r="C138" s="362" t="s">
        <v>33</v>
      </c>
      <c r="D138" s="98" t="s">
        <v>186</v>
      </c>
      <c r="E138" s="98" t="s">
        <v>477</v>
      </c>
      <c r="F138" s="98" t="s">
        <v>186</v>
      </c>
      <c r="G138" s="365">
        <f>TRUNC(MEDIAN(D140:F140),2)</f>
        <v>55</v>
      </c>
    </row>
    <row r="139" spans="1:7" x14ac:dyDescent="0.3">
      <c r="A139" s="357"/>
      <c r="B139" s="372"/>
      <c r="C139" s="363"/>
      <c r="D139" s="98" t="s">
        <v>187</v>
      </c>
      <c r="E139" s="98" t="s">
        <v>476</v>
      </c>
      <c r="F139" s="98" t="s">
        <v>531</v>
      </c>
      <c r="G139" s="366"/>
    </row>
    <row r="140" spans="1:7" ht="15" thickBot="1" x14ac:dyDescent="0.35">
      <c r="A140" s="358"/>
      <c r="B140" s="373"/>
      <c r="C140" s="364"/>
      <c r="D140" s="99">
        <f>232.95/3</f>
        <v>77.649999999999991</v>
      </c>
      <c r="E140" s="99">
        <f>165/3</f>
        <v>55</v>
      </c>
      <c r="F140" s="99">
        <f>142.34/3</f>
        <v>47.446666666666665</v>
      </c>
      <c r="G140" s="367"/>
    </row>
    <row r="141" spans="1:7" x14ac:dyDescent="0.3">
      <c r="A141" s="112"/>
      <c r="B141" s="103"/>
      <c r="C141" s="84"/>
      <c r="D141" s="82"/>
      <c r="E141" s="82"/>
      <c r="F141" s="104"/>
      <c r="G141" s="113"/>
    </row>
    <row r="142" spans="1:7" ht="15" customHeight="1" x14ac:dyDescent="0.3">
      <c r="A142" s="356" t="s">
        <v>299</v>
      </c>
      <c r="B142" s="371" t="s">
        <v>243</v>
      </c>
      <c r="C142" s="362" t="s">
        <v>33</v>
      </c>
      <c r="D142" s="98" t="s">
        <v>177</v>
      </c>
      <c r="E142" s="98" t="s">
        <v>186</v>
      </c>
      <c r="F142" s="98" t="s">
        <v>458</v>
      </c>
      <c r="G142" s="365">
        <f>TRUNC(MEDIAN(D144:F144),2)</f>
        <v>76.73</v>
      </c>
    </row>
    <row r="143" spans="1:7" x14ac:dyDescent="0.3">
      <c r="A143" s="357"/>
      <c r="B143" s="372"/>
      <c r="C143" s="363"/>
      <c r="D143" s="98" t="s">
        <v>178</v>
      </c>
      <c r="E143" s="98" t="s">
        <v>187</v>
      </c>
      <c r="F143" s="98" t="s">
        <v>459</v>
      </c>
      <c r="G143" s="366"/>
    </row>
    <row r="144" spans="1:7" ht="15" thickBot="1" x14ac:dyDescent="0.35">
      <c r="A144" s="358"/>
      <c r="B144" s="373"/>
      <c r="C144" s="364"/>
      <c r="D144" s="99">
        <f>226.074/3</f>
        <v>75.358000000000004</v>
      </c>
      <c r="E144" s="99">
        <f>274.53/3</f>
        <v>91.509999999999991</v>
      </c>
      <c r="F144" s="99">
        <f>230.2/3</f>
        <v>76.733333333333334</v>
      </c>
      <c r="G144" s="367"/>
    </row>
    <row r="145" spans="1:7" x14ac:dyDescent="0.3">
      <c r="A145" s="112"/>
      <c r="B145" s="103"/>
      <c r="C145" s="84"/>
      <c r="D145" s="82"/>
      <c r="E145" s="82"/>
      <c r="F145" s="104"/>
      <c r="G145" s="113"/>
    </row>
    <row r="146" spans="1:7" ht="15" customHeight="1" x14ac:dyDescent="0.3">
      <c r="A146" s="356" t="s">
        <v>300</v>
      </c>
      <c r="B146" s="371" t="s">
        <v>469</v>
      </c>
      <c r="C146" s="362" t="s">
        <v>13</v>
      </c>
      <c r="D146" s="98" t="s">
        <v>177</v>
      </c>
      <c r="E146" s="98" t="s">
        <v>472</v>
      </c>
      <c r="F146" s="98" t="s">
        <v>186</v>
      </c>
      <c r="G146" s="365">
        <f>TRUNC(MEDIAN(D148:F148),2)</f>
        <v>10.5</v>
      </c>
    </row>
    <row r="147" spans="1:7" x14ac:dyDescent="0.3">
      <c r="A147" s="357"/>
      <c r="B147" s="372"/>
      <c r="C147" s="363"/>
      <c r="D147" s="98" t="s">
        <v>178</v>
      </c>
      <c r="E147" s="98" t="s">
        <v>473</v>
      </c>
      <c r="F147" s="98" t="s">
        <v>531</v>
      </c>
      <c r="G147" s="366"/>
    </row>
    <row r="148" spans="1:7" ht="15" thickBot="1" x14ac:dyDescent="0.35">
      <c r="A148" s="358"/>
      <c r="B148" s="373"/>
      <c r="C148" s="364"/>
      <c r="D148" s="99">
        <v>6.5435999999999996</v>
      </c>
      <c r="E148" s="99">
        <v>10.52</v>
      </c>
      <c r="F148" s="99">
        <v>10.5</v>
      </c>
      <c r="G148" s="367"/>
    </row>
    <row r="149" spans="1:7" x14ac:dyDescent="0.3">
      <c r="A149" s="112"/>
      <c r="B149" s="103"/>
      <c r="C149" s="84"/>
      <c r="D149" s="82"/>
      <c r="E149" s="82"/>
      <c r="F149" s="104"/>
      <c r="G149" s="113"/>
    </row>
    <row r="150" spans="1:7" ht="15" customHeight="1" x14ac:dyDescent="0.3">
      <c r="A150" s="356" t="s">
        <v>301</v>
      </c>
      <c r="B150" s="371" t="s">
        <v>470</v>
      </c>
      <c r="C150" s="362" t="s">
        <v>13</v>
      </c>
      <c r="D150" s="98" t="s">
        <v>177</v>
      </c>
      <c r="E150" s="98" t="s">
        <v>472</v>
      </c>
      <c r="F150" s="98" t="s">
        <v>186</v>
      </c>
      <c r="G150" s="365">
        <f>TRUNC(MEDIAN(D152:F152),2)</f>
        <v>14.25</v>
      </c>
    </row>
    <row r="151" spans="1:7" x14ac:dyDescent="0.3">
      <c r="A151" s="357"/>
      <c r="B151" s="372"/>
      <c r="C151" s="363"/>
      <c r="D151" s="98" t="s">
        <v>178</v>
      </c>
      <c r="E151" s="98" t="s">
        <v>473</v>
      </c>
      <c r="F151" s="98" t="s">
        <v>531</v>
      </c>
      <c r="G151" s="366"/>
    </row>
    <row r="152" spans="1:7" ht="15" thickBot="1" x14ac:dyDescent="0.35">
      <c r="A152" s="358"/>
      <c r="B152" s="373"/>
      <c r="C152" s="364"/>
      <c r="D152" s="99">
        <v>11.151999999999999</v>
      </c>
      <c r="E152" s="99">
        <v>27.86</v>
      </c>
      <c r="F152" s="99">
        <v>14.25</v>
      </c>
      <c r="G152" s="367"/>
    </row>
    <row r="153" spans="1:7" x14ac:dyDescent="0.3">
      <c r="A153" s="112"/>
      <c r="B153" s="103"/>
      <c r="C153" s="84"/>
      <c r="D153" s="82"/>
      <c r="E153" s="82"/>
      <c r="F153" s="104"/>
      <c r="G153" s="113"/>
    </row>
    <row r="154" spans="1:7" ht="15" customHeight="1" x14ac:dyDescent="0.3">
      <c r="A154" s="356" t="s">
        <v>302</v>
      </c>
      <c r="B154" s="371" t="s">
        <v>471</v>
      </c>
      <c r="C154" s="362" t="s">
        <v>13</v>
      </c>
      <c r="D154" s="98" t="s">
        <v>177</v>
      </c>
      <c r="E154" s="98" t="s">
        <v>472</v>
      </c>
      <c r="F154" s="98" t="s">
        <v>186</v>
      </c>
      <c r="G154" s="365">
        <f>TRUNC(MEDIAN(D156:F156),2)</f>
        <v>16.62</v>
      </c>
    </row>
    <row r="155" spans="1:7" x14ac:dyDescent="0.3">
      <c r="A155" s="357"/>
      <c r="B155" s="372"/>
      <c r="C155" s="363"/>
      <c r="D155" s="98" t="s">
        <v>178</v>
      </c>
      <c r="E155" s="98" t="s">
        <v>473</v>
      </c>
      <c r="F155" s="98" t="s">
        <v>531</v>
      </c>
      <c r="G155" s="366"/>
    </row>
    <row r="156" spans="1:7" ht="15" thickBot="1" x14ac:dyDescent="0.35">
      <c r="A156" s="358"/>
      <c r="B156" s="373"/>
      <c r="C156" s="364"/>
      <c r="D156" s="99">
        <v>11.151999999999999</v>
      </c>
      <c r="E156" s="99">
        <v>27.86</v>
      </c>
      <c r="F156" s="99">
        <v>16.62</v>
      </c>
      <c r="G156" s="367"/>
    </row>
    <row r="157" spans="1:7" x14ac:dyDescent="0.3">
      <c r="A157" s="112" t="s">
        <v>597</v>
      </c>
      <c r="B157" s="103"/>
      <c r="C157" s="84"/>
      <c r="D157" s="82"/>
      <c r="E157" s="82"/>
      <c r="F157" s="104"/>
      <c r="G157" s="113"/>
    </row>
    <row r="158" spans="1:7" ht="15" customHeight="1" x14ac:dyDescent="0.3">
      <c r="A158" s="356" t="s">
        <v>303</v>
      </c>
      <c r="B158" s="371" t="s">
        <v>248</v>
      </c>
      <c r="C158" s="362" t="s">
        <v>13</v>
      </c>
      <c r="D158" s="98" t="s">
        <v>177</v>
      </c>
      <c r="E158" s="98" t="s">
        <v>186</v>
      </c>
      <c r="F158" s="98" t="s">
        <v>458</v>
      </c>
      <c r="G158" s="365">
        <f>TRUNC(MEDIAN(D160:F160),2)</f>
        <v>3.67</v>
      </c>
    </row>
    <row r="159" spans="1:7" x14ac:dyDescent="0.3">
      <c r="A159" s="357"/>
      <c r="B159" s="372"/>
      <c r="C159" s="363"/>
      <c r="D159" s="98" t="s">
        <v>178</v>
      </c>
      <c r="E159" s="98" t="s">
        <v>187</v>
      </c>
      <c r="F159" s="98" t="s">
        <v>459</v>
      </c>
      <c r="G159" s="366"/>
    </row>
    <row r="160" spans="1:7" ht="15" thickBot="1" x14ac:dyDescent="0.35">
      <c r="A160" s="358"/>
      <c r="B160" s="373"/>
      <c r="C160" s="364"/>
      <c r="D160" s="99">
        <v>2.0828000000000002</v>
      </c>
      <c r="E160" s="99">
        <v>3.67</v>
      </c>
      <c r="F160" s="99">
        <v>5.15</v>
      </c>
      <c r="G160" s="367"/>
    </row>
    <row r="161" spans="1:7" x14ac:dyDescent="0.3">
      <c r="A161" s="112"/>
      <c r="B161" s="103"/>
      <c r="C161" s="84"/>
      <c r="D161" s="82"/>
      <c r="E161" s="82"/>
      <c r="F161" s="104"/>
      <c r="G161" s="113"/>
    </row>
    <row r="162" spans="1:7" ht="15" customHeight="1" x14ac:dyDescent="0.3">
      <c r="A162" s="356" t="s">
        <v>304</v>
      </c>
      <c r="B162" s="371" t="s">
        <v>249</v>
      </c>
      <c r="C162" s="362" t="s">
        <v>13</v>
      </c>
      <c r="D162" s="98" t="s">
        <v>177</v>
      </c>
      <c r="E162" s="98" t="s">
        <v>186</v>
      </c>
      <c r="F162" s="98" t="s">
        <v>458</v>
      </c>
      <c r="G162" s="365">
        <f>TRUNC(MEDIAN(D164:F164),2)</f>
        <v>5.76</v>
      </c>
    </row>
    <row r="163" spans="1:7" x14ac:dyDescent="0.3">
      <c r="A163" s="357"/>
      <c r="B163" s="372"/>
      <c r="C163" s="363"/>
      <c r="D163" s="98" t="s">
        <v>178</v>
      </c>
      <c r="E163" s="98" t="s">
        <v>187</v>
      </c>
      <c r="F163" s="98" t="s">
        <v>459</v>
      </c>
      <c r="G163" s="366"/>
    </row>
    <row r="164" spans="1:7" ht="15" thickBot="1" x14ac:dyDescent="0.35">
      <c r="A164" s="358"/>
      <c r="B164" s="373"/>
      <c r="C164" s="364"/>
      <c r="D164" s="99">
        <v>5.2152000000000003</v>
      </c>
      <c r="E164" s="99">
        <v>6.12</v>
      </c>
      <c r="F164" s="99">
        <v>5.76</v>
      </c>
      <c r="G164" s="367"/>
    </row>
    <row r="165" spans="1:7" x14ac:dyDescent="0.3">
      <c r="A165" s="112"/>
      <c r="B165" s="103"/>
      <c r="C165" s="84"/>
      <c r="D165" s="82"/>
      <c r="E165" s="82"/>
      <c r="F165" s="104"/>
      <c r="G165" s="113"/>
    </row>
    <row r="166" spans="1:7" ht="15" customHeight="1" x14ac:dyDescent="0.3">
      <c r="A166" s="356" t="s">
        <v>305</v>
      </c>
      <c r="B166" s="371" t="s">
        <v>255</v>
      </c>
      <c r="C166" s="362" t="s">
        <v>13</v>
      </c>
      <c r="D166" s="98" t="s">
        <v>186</v>
      </c>
      <c r="E166" s="98" t="s">
        <v>477</v>
      </c>
      <c r="F166" s="98" t="s">
        <v>483</v>
      </c>
      <c r="G166" s="365">
        <f>TRUNC(MEDIAN(D168:F168),2)</f>
        <v>56.86</v>
      </c>
    </row>
    <row r="167" spans="1:7" x14ac:dyDescent="0.3">
      <c r="A167" s="357"/>
      <c r="B167" s="372"/>
      <c r="C167" s="363"/>
      <c r="D167" s="98" t="s">
        <v>187</v>
      </c>
      <c r="E167" s="98" t="s">
        <v>476</v>
      </c>
      <c r="F167" s="98" t="s">
        <v>484</v>
      </c>
      <c r="G167" s="366"/>
    </row>
    <row r="168" spans="1:7" ht="15" thickBot="1" x14ac:dyDescent="0.35">
      <c r="A168" s="358"/>
      <c r="B168" s="373"/>
      <c r="C168" s="364"/>
      <c r="D168" s="99">
        <v>56.86</v>
      </c>
      <c r="E168" s="99">
        <v>67.08</v>
      </c>
      <c r="F168" s="99">
        <v>41.03</v>
      </c>
      <c r="G168" s="367"/>
    </row>
    <row r="169" spans="1:7" x14ac:dyDescent="0.3">
      <c r="A169" s="112"/>
      <c r="B169" s="103"/>
      <c r="C169" s="84"/>
      <c r="D169" s="82"/>
      <c r="E169" s="82"/>
      <c r="F169" s="104"/>
      <c r="G169" s="113"/>
    </row>
    <row r="170" spans="1:7" ht="15" customHeight="1" x14ac:dyDescent="0.3">
      <c r="A170" s="356" t="s">
        <v>306</v>
      </c>
      <c r="B170" s="371" t="s">
        <v>253</v>
      </c>
      <c r="C170" s="362" t="s">
        <v>13</v>
      </c>
      <c r="D170" s="98" t="s">
        <v>177</v>
      </c>
      <c r="E170" s="98" t="s">
        <v>186</v>
      </c>
      <c r="F170" s="98" t="s">
        <v>467</v>
      </c>
      <c r="G170" s="365">
        <f>TRUNC(MEDIAN(D172:F172),2)</f>
        <v>65.8</v>
      </c>
    </row>
    <row r="171" spans="1:7" x14ac:dyDescent="0.3">
      <c r="A171" s="357"/>
      <c r="B171" s="372"/>
      <c r="C171" s="363"/>
      <c r="D171" s="98" t="s">
        <v>178</v>
      </c>
      <c r="E171" s="98" t="s">
        <v>187</v>
      </c>
      <c r="F171" s="98" t="s">
        <v>468</v>
      </c>
      <c r="G171" s="366"/>
    </row>
    <row r="172" spans="1:7" ht="15" thickBot="1" x14ac:dyDescent="0.35">
      <c r="A172" s="358"/>
      <c r="B172" s="373"/>
      <c r="C172" s="364"/>
      <c r="D172" s="99">
        <v>85.853999999999999</v>
      </c>
      <c r="E172" s="99">
        <v>56.85</v>
      </c>
      <c r="F172" s="99">
        <v>65.8</v>
      </c>
      <c r="G172" s="367"/>
    </row>
    <row r="173" spans="1:7" x14ac:dyDescent="0.3">
      <c r="A173" s="112"/>
      <c r="B173" s="103"/>
      <c r="C173" s="84"/>
      <c r="D173" s="82"/>
      <c r="E173" s="82"/>
      <c r="F173" s="104"/>
      <c r="G173" s="113"/>
    </row>
    <row r="174" spans="1:7" ht="15" customHeight="1" x14ac:dyDescent="0.3">
      <c r="A174" s="356" t="s">
        <v>307</v>
      </c>
      <c r="B174" s="371" t="s">
        <v>254</v>
      </c>
      <c r="C174" s="362" t="s">
        <v>13</v>
      </c>
      <c r="D174" s="98" t="s">
        <v>177</v>
      </c>
      <c r="E174" s="98" t="s">
        <v>186</v>
      </c>
      <c r="F174" s="98" t="s">
        <v>467</v>
      </c>
      <c r="G174" s="365">
        <f>TRUNC(MEDIAN(D176:F176),2)</f>
        <v>65.8</v>
      </c>
    </row>
    <row r="175" spans="1:7" x14ac:dyDescent="0.3">
      <c r="A175" s="357"/>
      <c r="B175" s="372"/>
      <c r="C175" s="363"/>
      <c r="D175" s="98" t="s">
        <v>178</v>
      </c>
      <c r="E175" s="98" t="s">
        <v>187</v>
      </c>
      <c r="F175" s="98" t="s">
        <v>468</v>
      </c>
      <c r="G175" s="366"/>
    </row>
    <row r="176" spans="1:7" ht="15" thickBot="1" x14ac:dyDescent="0.35">
      <c r="A176" s="358"/>
      <c r="B176" s="373"/>
      <c r="C176" s="364"/>
      <c r="D176" s="99">
        <v>85.853999999999999</v>
      </c>
      <c r="E176" s="99">
        <v>56.85</v>
      </c>
      <c r="F176" s="99">
        <v>65.8</v>
      </c>
      <c r="G176" s="367"/>
    </row>
    <row r="177" spans="1:7" x14ac:dyDescent="0.3">
      <c r="A177" s="112"/>
      <c r="B177" s="103"/>
      <c r="C177" s="84"/>
      <c r="D177" s="82"/>
      <c r="E177" s="82"/>
      <c r="F177" s="104"/>
      <c r="G177" s="113"/>
    </row>
    <row r="178" spans="1:7" ht="15" customHeight="1" x14ac:dyDescent="0.3">
      <c r="A178" s="356" t="s">
        <v>308</v>
      </c>
      <c r="B178" s="371" t="s">
        <v>460</v>
      </c>
      <c r="C178" s="362" t="s">
        <v>13</v>
      </c>
      <c r="D178" s="98" t="s">
        <v>177</v>
      </c>
      <c r="E178" s="98" t="s">
        <v>186</v>
      </c>
      <c r="F178" s="98" t="s">
        <v>467</v>
      </c>
      <c r="G178" s="365">
        <f>TRUNC(MEDIAN(D180:F180),2)</f>
        <v>65.8</v>
      </c>
    </row>
    <row r="179" spans="1:7" x14ac:dyDescent="0.3">
      <c r="A179" s="357"/>
      <c r="B179" s="372"/>
      <c r="C179" s="363"/>
      <c r="D179" s="98" t="s">
        <v>178</v>
      </c>
      <c r="E179" s="98" t="s">
        <v>187</v>
      </c>
      <c r="F179" s="98" t="s">
        <v>468</v>
      </c>
      <c r="G179" s="366"/>
    </row>
    <row r="180" spans="1:7" ht="15" thickBot="1" x14ac:dyDescent="0.35">
      <c r="A180" s="358"/>
      <c r="B180" s="373"/>
      <c r="C180" s="364"/>
      <c r="D180" s="99">
        <v>85.853999999999999</v>
      </c>
      <c r="E180" s="99">
        <v>56.85</v>
      </c>
      <c r="F180" s="99">
        <v>65.8</v>
      </c>
      <c r="G180" s="367"/>
    </row>
    <row r="181" spans="1:7" x14ac:dyDescent="0.3">
      <c r="A181" s="112"/>
      <c r="B181" s="103"/>
      <c r="C181" s="84"/>
      <c r="D181" s="82"/>
      <c r="E181" s="82"/>
      <c r="F181" s="104"/>
      <c r="G181" s="113"/>
    </row>
    <row r="182" spans="1:7" ht="15" customHeight="1" x14ac:dyDescent="0.3">
      <c r="A182" s="356" t="s">
        <v>309</v>
      </c>
      <c r="B182" s="371" t="s">
        <v>128</v>
      </c>
      <c r="C182" s="362" t="s">
        <v>13</v>
      </c>
      <c r="D182" s="98" t="s">
        <v>177</v>
      </c>
      <c r="E182" s="98" t="s">
        <v>458</v>
      </c>
      <c r="F182" s="98" t="s">
        <v>472</v>
      </c>
      <c r="G182" s="365">
        <f>TRUNC(MEDIAN(D184:F184),2)</f>
        <v>36.47</v>
      </c>
    </row>
    <row r="183" spans="1:7" x14ac:dyDescent="0.3">
      <c r="A183" s="357"/>
      <c r="B183" s="372"/>
      <c r="C183" s="363"/>
      <c r="D183" s="98" t="s">
        <v>178</v>
      </c>
      <c r="E183" s="98" t="s">
        <v>459</v>
      </c>
      <c r="F183" s="98" t="s">
        <v>473</v>
      </c>
      <c r="G183" s="366"/>
    </row>
    <row r="184" spans="1:7" ht="15" thickBot="1" x14ac:dyDescent="0.35">
      <c r="A184" s="358"/>
      <c r="B184" s="373"/>
      <c r="C184" s="364"/>
      <c r="D184" s="99">
        <v>24.928000000000001</v>
      </c>
      <c r="E184" s="99">
        <v>59.77</v>
      </c>
      <c r="F184" s="99">
        <v>36.47</v>
      </c>
      <c r="G184" s="367"/>
    </row>
    <row r="185" spans="1:7" x14ac:dyDescent="0.3">
      <c r="A185" s="112"/>
      <c r="B185" s="103"/>
      <c r="C185" s="84"/>
      <c r="D185" s="82"/>
      <c r="E185" s="82"/>
      <c r="F185" s="104"/>
      <c r="G185" s="113"/>
    </row>
    <row r="186" spans="1:7" ht="15" customHeight="1" x14ac:dyDescent="0.3">
      <c r="A186" s="356" t="s">
        <v>310</v>
      </c>
      <c r="B186" s="371" t="s">
        <v>258</v>
      </c>
      <c r="C186" s="362" t="s">
        <v>13</v>
      </c>
      <c r="D186" s="98" t="s">
        <v>177</v>
      </c>
      <c r="E186" s="98" t="s">
        <v>472</v>
      </c>
      <c r="F186" s="98" t="s">
        <v>477</v>
      </c>
      <c r="G186" s="365">
        <f>TRUNC(MEDIAN(D188:F188),2)</f>
        <v>59.31</v>
      </c>
    </row>
    <row r="187" spans="1:7" x14ac:dyDescent="0.3">
      <c r="A187" s="357"/>
      <c r="B187" s="372"/>
      <c r="C187" s="363"/>
      <c r="D187" s="98" t="s">
        <v>178</v>
      </c>
      <c r="E187" s="98" t="s">
        <v>473</v>
      </c>
      <c r="F187" s="98" t="s">
        <v>478</v>
      </c>
      <c r="G187" s="366"/>
    </row>
    <row r="188" spans="1:7" ht="15" thickBot="1" x14ac:dyDescent="0.35">
      <c r="A188" s="358"/>
      <c r="B188" s="373"/>
      <c r="C188" s="364"/>
      <c r="D188" s="99">
        <v>59.318800000000003</v>
      </c>
      <c r="E188" s="99">
        <v>38.86</v>
      </c>
      <c r="F188" s="99">
        <v>95.92</v>
      </c>
      <c r="G188" s="367"/>
    </row>
    <row r="189" spans="1:7" x14ac:dyDescent="0.3">
      <c r="A189" s="112"/>
      <c r="B189" s="103"/>
      <c r="C189" s="84"/>
      <c r="D189" s="82"/>
      <c r="E189" s="82"/>
      <c r="F189" s="104"/>
      <c r="G189" s="113"/>
    </row>
    <row r="190" spans="1:7" ht="15" customHeight="1" x14ac:dyDescent="0.3">
      <c r="A190" s="356" t="s">
        <v>311</v>
      </c>
      <c r="B190" s="371" t="s">
        <v>259</v>
      </c>
      <c r="C190" s="362" t="s">
        <v>13</v>
      </c>
      <c r="D190" s="98" t="s">
        <v>472</v>
      </c>
      <c r="E190" s="98" t="s">
        <v>477</v>
      </c>
      <c r="F190" s="98" t="s">
        <v>483</v>
      </c>
      <c r="G190" s="365">
        <f>TRUNC(MEDIAN(D192:F192),2)</f>
        <v>23.58</v>
      </c>
    </row>
    <row r="191" spans="1:7" x14ac:dyDescent="0.3">
      <c r="A191" s="357"/>
      <c r="B191" s="372"/>
      <c r="C191" s="363"/>
      <c r="D191" s="98" t="s">
        <v>473</v>
      </c>
      <c r="E191" s="98" t="s">
        <v>478</v>
      </c>
      <c r="F191" s="98" t="s">
        <v>484</v>
      </c>
      <c r="G191" s="366"/>
    </row>
    <row r="192" spans="1:7" ht="15" thickBot="1" x14ac:dyDescent="0.35">
      <c r="A192" s="358"/>
      <c r="B192" s="373"/>
      <c r="C192" s="364"/>
      <c r="D192" s="99">
        <v>32.159999999999997</v>
      </c>
      <c r="E192" s="99">
        <v>23.58</v>
      </c>
      <c r="F192" s="99">
        <v>20.59</v>
      </c>
      <c r="G192" s="367"/>
    </row>
    <row r="193" spans="1:7" x14ac:dyDescent="0.3">
      <c r="A193" s="112"/>
      <c r="B193" s="103"/>
      <c r="C193" s="84"/>
      <c r="D193" s="82"/>
      <c r="E193" s="82"/>
      <c r="F193" s="104"/>
      <c r="G193" s="113"/>
    </row>
    <row r="194" spans="1:7" ht="15" customHeight="1" x14ac:dyDescent="0.3">
      <c r="A194" s="356" t="s">
        <v>312</v>
      </c>
      <c r="B194" s="371" t="s">
        <v>262</v>
      </c>
      <c r="C194" s="362" t="s">
        <v>13</v>
      </c>
      <c r="D194" s="98" t="s">
        <v>177</v>
      </c>
      <c r="E194" s="98" t="s">
        <v>477</v>
      </c>
      <c r="F194" s="98" t="s">
        <v>472</v>
      </c>
      <c r="G194" s="365">
        <f>TRUNC(MEDIAN(D196:F196),2)</f>
        <v>62.53</v>
      </c>
    </row>
    <row r="195" spans="1:7" x14ac:dyDescent="0.3">
      <c r="A195" s="357"/>
      <c r="B195" s="372"/>
      <c r="C195" s="363"/>
      <c r="D195" s="98" t="s">
        <v>178</v>
      </c>
      <c r="E195" s="98" t="s">
        <v>478</v>
      </c>
      <c r="F195" s="98" t="s">
        <v>473</v>
      </c>
      <c r="G195" s="366"/>
    </row>
    <row r="196" spans="1:7" ht="15" thickBot="1" x14ac:dyDescent="0.35">
      <c r="A196" s="358"/>
      <c r="B196" s="373"/>
      <c r="C196" s="364"/>
      <c r="D196" s="99">
        <v>55.186</v>
      </c>
      <c r="E196" s="99">
        <v>62.94</v>
      </c>
      <c r="F196" s="99">
        <v>62.53</v>
      </c>
      <c r="G196" s="367"/>
    </row>
    <row r="197" spans="1:7" x14ac:dyDescent="0.3">
      <c r="A197" s="112"/>
      <c r="B197" s="103"/>
      <c r="C197" s="84"/>
      <c r="D197" s="82"/>
      <c r="E197" s="82"/>
      <c r="F197" s="104"/>
      <c r="G197" s="113"/>
    </row>
    <row r="198" spans="1:7" x14ac:dyDescent="0.3">
      <c r="A198" s="356" t="s">
        <v>313</v>
      </c>
      <c r="B198" s="359" t="s">
        <v>263</v>
      </c>
      <c r="C198" s="362" t="s">
        <v>13</v>
      </c>
      <c r="D198" s="98" t="s">
        <v>458</v>
      </c>
      <c r="E198" s="98" t="s">
        <v>467</v>
      </c>
      <c r="F198" s="98" t="s">
        <v>472</v>
      </c>
      <c r="G198" s="365">
        <f>TRUNC(MEDIAN(D200:F200),2)</f>
        <v>5.91</v>
      </c>
    </row>
    <row r="199" spans="1:7" x14ac:dyDescent="0.3">
      <c r="A199" s="357"/>
      <c r="B199" s="360"/>
      <c r="C199" s="363"/>
      <c r="D199" s="98" t="s">
        <v>459</v>
      </c>
      <c r="E199" s="98" t="s">
        <v>468</v>
      </c>
      <c r="F199" s="98" t="s">
        <v>473</v>
      </c>
      <c r="G199" s="366"/>
    </row>
    <row r="200" spans="1:7" ht="15" thickBot="1" x14ac:dyDescent="0.35">
      <c r="A200" s="358"/>
      <c r="B200" s="361"/>
      <c r="C200" s="364"/>
      <c r="D200" s="99">
        <v>7.27</v>
      </c>
      <c r="E200" s="99">
        <v>3.02</v>
      </c>
      <c r="F200" s="99">
        <v>5.91</v>
      </c>
      <c r="G200" s="367"/>
    </row>
    <row r="201" spans="1:7" x14ac:dyDescent="0.3">
      <c r="A201" s="112"/>
      <c r="B201" s="103"/>
      <c r="C201" s="84"/>
      <c r="D201" s="82"/>
      <c r="E201" s="82"/>
      <c r="F201" s="104"/>
      <c r="G201" s="113"/>
    </row>
    <row r="202" spans="1:7" ht="15" customHeight="1" x14ac:dyDescent="0.3">
      <c r="A202" s="356" t="s">
        <v>314</v>
      </c>
      <c r="B202" s="371" t="s">
        <v>265</v>
      </c>
      <c r="C202" s="362" t="s">
        <v>13</v>
      </c>
      <c r="D202" s="98" t="s">
        <v>177</v>
      </c>
      <c r="E202" s="98" t="s">
        <v>477</v>
      </c>
      <c r="F202" s="98" t="s">
        <v>186</v>
      </c>
      <c r="G202" s="365">
        <f>TRUNC(MEDIAN(D204:F204),2)</f>
        <v>7.2</v>
      </c>
    </row>
    <row r="203" spans="1:7" x14ac:dyDescent="0.3">
      <c r="A203" s="357"/>
      <c r="B203" s="372"/>
      <c r="C203" s="363"/>
      <c r="D203" s="98" t="s">
        <v>178</v>
      </c>
      <c r="E203" s="98" t="s">
        <v>478</v>
      </c>
      <c r="F203" s="98" t="s">
        <v>531</v>
      </c>
      <c r="G203" s="366"/>
    </row>
    <row r="204" spans="1:7" ht="15" thickBot="1" x14ac:dyDescent="0.35">
      <c r="A204" s="358"/>
      <c r="B204" s="373"/>
      <c r="C204" s="364"/>
      <c r="D204" s="99">
        <v>6.2648000000000001</v>
      </c>
      <c r="E204" s="99">
        <v>11</v>
      </c>
      <c r="F204" s="99">
        <v>7.2</v>
      </c>
      <c r="G204" s="367"/>
    </row>
    <row r="205" spans="1:7" x14ac:dyDescent="0.3">
      <c r="A205" s="112"/>
      <c r="B205" s="103"/>
      <c r="C205" s="84"/>
      <c r="D205" s="82"/>
      <c r="E205" s="82"/>
      <c r="F205" s="104"/>
      <c r="G205" s="113"/>
    </row>
    <row r="206" spans="1:7" ht="15" customHeight="1" x14ac:dyDescent="0.3">
      <c r="A206" s="356" t="s">
        <v>315</v>
      </c>
      <c r="B206" s="371" t="s">
        <v>267</v>
      </c>
      <c r="C206" s="362" t="s">
        <v>33</v>
      </c>
      <c r="D206" s="98" t="s">
        <v>287</v>
      </c>
      <c r="E206" s="98" t="s">
        <v>288</v>
      </c>
      <c r="F206" s="98" t="s">
        <v>289</v>
      </c>
      <c r="G206" s="365">
        <f>TRUNC(MEDIAN(D208:F208),2)</f>
        <v>54.63</v>
      </c>
    </row>
    <row r="207" spans="1:7" x14ac:dyDescent="0.3">
      <c r="A207" s="357"/>
      <c r="B207" s="372"/>
      <c r="C207" s="363"/>
      <c r="D207" s="98" t="s">
        <v>290</v>
      </c>
      <c r="E207" s="98" t="s">
        <v>291</v>
      </c>
      <c r="F207" s="98" t="s">
        <v>292</v>
      </c>
      <c r="G207" s="366"/>
    </row>
    <row r="208" spans="1:7" ht="15" thickBot="1" x14ac:dyDescent="0.35">
      <c r="A208" s="358"/>
      <c r="B208" s="373"/>
      <c r="C208" s="364"/>
      <c r="D208" s="99">
        <v>52.639999999999993</v>
      </c>
      <c r="E208" s="99">
        <v>54.633333333333333</v>
      </c>
      <c r="F208" s="99">
        <v>65.81</v>
      </c>
      <c r="G208" s="367"/>
    </row>
    <row r="209" spans="1:7" x14ac:dyDescent="0.3">
      <c r="A209" s="112"/>
      <c r="B209" s="103"/>
      <c r="C209" s="84"/>
      <c r="D209" s="82"/>
      <c r="E209" s="82"/>
      <c r="F209" s="104"/>
      <c r="G209" s="113"/>
    </row>
    <row r="210" spans="1:7" ht="15" customHeight="1" x14ac:dyDescent="0.3">
      <c r="A210" s="356" t="s">
        <v>316</v>
      </c>
      <c r="B210" s="371" t="s">
        <v>495</v>
      </c>
      <c r="C210" s="362" t="s">
        <v>33</v>
      </c>
      <c r="D210" s="98" t="s">
        <v>287</v>
      </c>
      <c r="E210" s="98" t="s">
        <v>289</v>
      </c>
      <c r="F210" s="98" t="s">
        <v>288</v>
      </c>
      <c r="G210" s="365">
        <f>TRUNC(MEDIAN(D212:F212),2)</f>
        <v>47.06</v>
      </c>
    </row>
    <row r="211" spans="1:7" x14ac:dyDescent="0.3">
      <c r="A211" s="357"/>
      <c r="B211" s="372"/>
      <c r="C211" s="363"/>
      <c r="D211" s="98" t="s">
        <v>290</v>
      </c>
      <c r="E211" s="98" t="s">
        <v>292</v>
      </c>
      <c r="F211" s="98" t="s">
        <v>291</v>
      </c>
      <c r="G211" s="366"/>
    </row>
    <row r="212" spans="1:7" ht="15" thickBot="1" x14ac:dyDescent="0.35">
      <c r="A212" s="358"/>
      <c r="B212" s="373"/>
      <c r="C212" s="364"/>
      <c r="D212" s="99">
        <v>47.066666666666663</v>
      </c>
      <c r="E212" s="99">
        <v>58.84</v>
      </c>
      <c r="F212" s="99">
        <v>30.5</v>
      </c>
      <c r="G212" s="367"/>
    </row>
    <row r="213" spans="1:7" x14ac:dyDescent="0.3">
      <c r="A213" s="112"/>
      <c r="B213" s="103"/>
      <c r="C213" s="84"/>
      <c r="D213" s="82"/>
      <c r="E213" s="82"/>
      <c r="F213" s="104"/>
      <c r="G213" s="113"/>
    </row>
    <row r="214" spans="1:7" ht="15" customHeight="1" x14ac:dyDescent="0.3">
      <c r="A214" s="356" t="s">
        <v>317</v>
      </c>
      <c r="B214" s="371" t="s">
        <v>496</v>
      </c>
      <c r="C214" s="362" t="s">
        <v>13</v>
      </c>
      <c r="D214" s="98" t="s">
        <v>287</v>
      </c>
      <c r="E214" s="98" t="s">
        <v>288</v>
      </c>
      <c r="F214" s="98" t="s">
        <v>289</v>
      </c>
      <c r="G214" s="365">
        <f>TRUNC(MEDIAN(D216:F216),2)</f>
        <v>7.41</v>
      </c>
    </row>
    <row r="215" spans="1:7" x14ac:dyDescent="0.3">
      <c r="A215" s="357"/>
      <c r="B215" s="372"/>
      <c r="C215" s="363"/>
      <c r="D215" s="98" t="s">
        <v>290</v>
      </c>
      <c r="E215" s="98" t="s">
        <v>291</v>
      </c>
      <c r="F215" s="98" t="s">
        <v>292</v>
      </c>
      <c r="G215" s="366"/>
    </row>
    <row r="216" spans="1:7" ht="15" thickBot="1" x14ac:dyDescent="0.35">
      <c r="A216" s="358"/>
      <c r="B216" s="373"/>
      <c r="C216" s="364"/>
      <c r="D216" s="99">
        <v>7.41</v>
      </c>
      <c r="E216" s="99">
        <v>5.51</v>
      </c>
      <c r="F216" s="99">
        <v>7.82</v>
      </c>
      <c r="G216" s="367"/>
    </row>
    <row r="217" spans="1:7" x14ac:dyDescent="0.3">
      <c r="A217" s="112"/>
      <c r="B217" s="103"/>
      <c r="C217" s="84"/>
      <c r="D217" s="82"/>
      <c r="E217" s="82"/>
      <c r="F217" s="104"/>
      <c r="G217" s="113"/>
    </row>
    <row r="218" spans="1:7" ht="15" customHeight="1" x14ac:dyDescent="0.3">
      <c r="A218" s="356" t="s">
        <v>318</v>
      </c>
      <c r="B218" s="371" t="s">
        <v>269</v>
      </c>
      <c r="C218" s="362" t="s">
        <v>13</v>
      </c>
      <c r="D218" s="98" t="s">
        <v>287</v>
      </c>
      <c r="E218" s="98" t="s">
        <v>288</v>
      </c>
      <c r="F218" s="98" t="s">
        <v>289</v>
      </c>
      <c r="G218" s="365">
        <f>TRUNC(MEDIAN(D220:F220),2)</f>
        <v>56.24</v>
      </c>
    </row>
    <row r="219" spans="1:7" x14ac:dyDescent="0.3">
      <c r="A219" s="357"/>
      <c r="B219" s="372"/>
      <c r="C219" s="363"/>
      <c r="D219" s="98" t="s">
        <v>290</v>
      </c>
      <c r="E219" s="98" t="s">
        <v>291</v>
      </c>
      <c r="F219" s="98" t="s">
        <v>292</v>
      </c>
      <c r="G219" s="366"/>
    </row>
    <row r="220" spans="1:7" ht="15" thickBot="1" x14ac:dyDescent="0.35">
      <c r="A220" s="358"/>
      <c r="B220" s="373"/>
      <c r="C220" s="364"/>
      <c r="D220" s="99">
        <v>56.24</v>
      </c>
      <c r="E220" s="99">
        <v>48.96</v>
      </c>
      <c r="F220" s="99">
        <v>70.3</v>
      </c>
      <c r="G220" s="367"/>
    </row>
    <row r="221" spans="1:7" x14ac:dyDescent="0.3">
      <c r="A221" s="112"/>
      <c r="B221" s="103"/>
      <c r="C221" s="84"/>
      <c r="D221" s="82"/>
      <c r="E221" s="82"/>
      <c r="F221" s="104"/>
      <c r="G221" s="113"/>
    </row>
    <row r="222" spans="1:7" ht="15" customHeight="1" x14ac:dyDescent="0.3">
      <c r="A222" s="356" t="s">
        <v>319</v>
      </c>
      <c r="B222" s="371" t="s">
        <v>270</v>
      </c>
      <c r="C222" s="362" t="s">
        <v>13</v>
      </c>
      <c r="D222" s="98" t="s">
        <v>287</v>
      </c>
      <c r="E222" s="98" t="s">
        <v>288</v>
      </c>
      <c r="F222" s="98" t="s">
        <v>289</v>
      </c>
      <c r="G222" s="365">
        <f>TRUNC(MEDIAN(D224:F224),2)</f>
        <v>38.29</v>
      </c>
    </row>
    <row r="223" spans="1:7" x14ac:dyDescent="0.3">
      <c r="A223" s="357"/>
      <c r="B223" s="372"/>
      <c r="C223" s="363"/>
      <c r="D223" s="98" t="s">
        <v>290</v>
      </c>
      <c r="E223" s="98" t="s">
        <v>291</v>
      </c>
      <c r="F223" s="98" t="s">
        <v>292</v>
      </c>
      <c r="G223" s="366"/>
    </row>
    <row r="224" spans="1:7" ht="15" thickBot="1" x14ac:dyDescent="0.35">
      <c r="A224" s="358"/>
      <c r="B224" s="373"/>
      <c r="C224" s="364"/>
      <c r="D224" s="99">
        <v>38.29</v>
      </c>
      <c r="E224" s="99">
        <v>23.15</v>
      </c>
      <c r="F224" s="99">
        <v>47.86</v>
      </c>
      <c r="G224" s="367"/>
    </row>
    <row r="225" spans="1:7" x14ac:dyDescent="0.3">
      <c r="A225" s="112"/>
      <c r="B225" s="103"/>
      <c r="C225" s="84"/>
      <c r="D225" s="82"/>
      <c r="E225" s="82"/>
      <c r="F225" s="104"/>
      <c r="G225" s="113"/>
    </row>
    <row r="226" spans="1:7" ht="15" customHeight="1" x14ac:dyDescent="0.3">
      <c r="A226" s="356" t="s">
        <v>320</v>
      </c>
      <c r="B226" s="371" t="s">
        <v>271</v>
      </c>
      <c r="C226" s="362" t="s">
        <v>13</v>
      </c>
      <c r="D226" s="98" t="s">
        <v>287</v>
      </c>
      <c r="E226" s="98" t="s">
        <v>288</v>
      </c>
      <c r="F226" s="98" t="s">
        <v>289</v>
      </c>
      <c r="G226" s="365">
        <f>TRUNC(MEDIAN(D228:F228),2)</f>
        <v>51.72</v>
      </c>
    </row>
    <row r="227" spans="1:7" x14ac:dyDescent="0.3">
      <c r="A227" s="357"/>
      <c r="B227" s="372"/>
      <c r="C227" s="363"/>
      <c r="D227" s="98" t="s">
        <v>290</v>
      </c>
      <c r="E227" s="98" t="s">
        <v>291</v>
      </c>
      <c r="F227" s="98" t="s">
        <v>292</v>
      </c>
      <c r="G227" s="366"/>
    </row>
    <row r="228" spans="1:7" ht="15" thickBot="1" x14ac:dyDescent="0.35">
      <c r="A228" s="358"/>
      <c r="B228" s="373"/>
      <c r="C228" s="364"/>
      <c r="D228" s="99">
        <v>51.72</v>
      </c>
      <c r="E228" s="99">
        <v>44.8</v>
      </c>
      <c r="F228" s="99">
        <v>64.64</v>
      </c>
      <c r="G228" s="367"/>
    </row>
    <row r="229" spans="1:7" x14ac:dyDescent="0.3">
      <c r="A229" s="112"/>
      <c r="B229" s="103"/>
      <c r="C229" s="84"/>
      <c r="D229" s="82"/>
      <c r="E229" s="82"/>
      <c r="F229" s="104"/>
      <c r="G229" s="113"/>
    </row>
    <row r="230" spans="1:7" ht="15" customHeight="1" x14ac:dyDescent="0.3">
      <c r="A230" s="356" t="s">
        <v>321</v>
      </c>
      <c r="B230" s="371" t="s">
        <v>272</v>
      </c>
      <c r="C230" s="362" t="s">
        <v>13</v>
      </c>
      <c r="D230" s="98" t="s">
        <v>287</v>
      </c>
      <c r="E230" s="98" t="s">
        <v>288</v>
      </c>
      <c r="F230" s="98" t="s">
        <v>289</v>
      </c>
      <c r="G230" s="365">
        <f>TRUNC(MEDIAN(D232:F232),2)</f>
        <v>74.95</v>
      </c>
    </row>
    <row r="231" spans="1:7" x14ac:dyDescent="0.3">
      <c r="A231" s="357"/>
      <c r="B231" s="372"/>
      <c r="C231" s="363"/>
      <c r="D231" s="98" t="s">
        <v>290</v>
      </c>
      <c r="E231" s="98" t="s">
        <v>291</v>
      </c>
      <c r="F231" s="98" t="s">
        <v>292</v>
      </c>
      <c r="G231" s="366"/>
    </row>
    <row r="232" spans="1:7" ht="15" thickBot="1" x14ac:dyDescent="0.35">
      <c r="A232" s="358"/>
      <c r="B232" s="373"/>
      <c r="C232" s="364"/>
      <c r="D232" s="99">
        <v>74.95</v>
      </c>
      <c r="E232" s="99">
        <v>71.319999999999993</v>
      </c>
      <c r="F232" s="99">
        <v>79.17</v>
      </c>
      <c r="G232" s="367"/>
    </row>
    <row r="233" spans="1:7" x14ac:dyDescent="0.3">
      <c r="A233" s="112"/>
      <c r="B233" s="103"/>
      <c r="C233" s="84"/>
      <c r="D233" s="82"/>
      <c r="E233" s="82"/>
      <c r="F233" s="104"/>
      <c r="G233" s="113"/>
    </row>
    <row r="234" spans="1:7" ht="15" customHeight="1" x14ac:dyDescent="0.3">
      <c r="A234" s="356" t="s">
        <v>322</v>
      </c>
      <c r="B234" s="371" t="s">
        <v>278</v>
      </c>
      <c r="C234" s="362" t="s">
        <v>13</v>
      </c>
      <c r="D234" s="98" t="s">
        <v>445</v>
      </c>
      <c r="E234" s="98" t="s">
        <v>447</v>
      </c>
      <c r="F234" s="98" t="s">
        <v>458</v>
      </c>
      <c r="G234" s="365">
        <f>TRUNC(MEDIAN(D236:F236),2)</f>
        <v>4.8600000000000003</v>
      </c>
    </row>
    <row r="235" spans="1:7" x14ac:dyDescent="0.3">
      <c r="A235" s="357"/>
      <c r="B235" s="372"/>
      <c r="C235" s="363"/>
      <c r="D235" s="98" t="s">
        <v>446</v>
      </c>
      <c r="E235" s="98" t="s">
        <v>449</v>
      </c>
      <c r="F235" s="98" t="s">
        <v>459</v>
      </c>
      <c r="G235" s="366"/>
    </row>
    <row r="236" spans="1:7" ht="15" thickBot="1" x14ac:dyDescent="0.35">
      <c r="A236" s="358"/>
      <c r="B236" s="373"/>
      <c r="C236" s="364"/>
      <c r="D236" s="99">
        <v>3.36</v>
      </c>
      <c r="E236" s="99">
        <v>4.8600000000000003</v>
      </c>
      <c r="F236" s="99">
        <v>5.98</v>
      </c>
      <c r="G236" s="367"/>
    </row>
    <row r="237" spans="1:7" x14ac:dyDescent="0.3">
      <c r="A237" s="112"/>
      <c r="B237" s="103"/>
      <c r="C237" s="84"/>
      <c r="D237" s="82"/>
      <c r="E237" s="82"/>
      <c r="F237" s="104"/>
      <c r="G237" s="113"/>
    </row>
    <row r="238" spans="1:7" ht="15" customHeight="1" x14ac:dyDescent="0.3">
      <c r="A238" s="356" t="s">
        <v>323</v>
      </c>
      <c r="B238" s="371" t="s">
        <v>279</v>
      </c>
      <c r="C238" s="362" t="s">
        <v>13</v>
      </c>
      <c r="D238" s="98" t="s">
        <v>445</v>
      </c>
      <c r="E238" s="98" t="s">
        <v>447</v>
      </c>
      <c r="F238" s="98" t="s">
        <v>458</v>
      </c>
      <c r="G238" s="365">
        <f>TRUNC(MEDIAN(D240:F240),2)</f>
        <v>6</v>
      </c>
    </row>
    <row r="239" spans="1:7" x14ac:dyDescent="0.3">
      <c r="A239" s="357"/>
      <c r="B239" s="372"/>
      <c r="C239" s="363"/>
      <c r="D239" s="98" t="s">
        <v>446</v>
      </c>
      <c r="E239" s="98" t="s">
        <v>449</v>
      </c>
      <c r="F239" s="98" t="s">
        <v>459</v>
      </c>
      <c r="G239" s="366"/>
    </row>
    <row r="240" spans="1:7" ht="15" thickBot="1" x14ac:dyDescent="0.35">
      <c r="A240" s="358"/>
      <c r="B240" s="373"/>
      <c r="C240" s="364"/>
      <c r="D240" s="99">
        <v>6</v>
      </c>
      <c r="E240" s="99">
        <v>8.1</v>
      </c>
      <c r="F240" s="99">
        <v>5.52</v>
      </c>
      <c r="G240" s="367"/>
    </row>
    <row r="241" spans="1:7" x14ac:dyDescent="0.3">
      <c r="A241" s="112"/>
      <c r="B241" s="103"/>
      <c r="C241" s="84"/>
      <c r="D241" s="82"/>
      <c r="E241" s="82"/>
      <c r="F241" s="104"/>
      <c r="G241" s="113"/>
    </row>
    <row r="242" spans="1:7" ht="15" customHeight="1" x14ac:dyDescent="0.3">
      <c r="A242" s="356" t="s">
        <v>324</v>
      </c>
      <c r="B242" s="371" t="s">
        <v>280</v>
      </c>
      <c r="C242" s="362" t="s">
        <v>13</v>
      </c>
      <c r="D242" s="98" t="s">
        <v>288</v>
      </c>
      <c r="E242" s="98" t="s">
        <v>477</v>
      </c>
      <c r="F242" s="98" t="s">
        <v>483</v>
      </c>
      <c r="G242" s="365">
        <f>TRUNC(MEDIAN(D244:F244),2)</f>
        <v>5.63</v>
      </c>
    </row>
    <row r="243" spans="1:7" x14ac:dyDescent="0.3">
      <c r="A243" s="357"/>
      <c r="B243" s="372"/>
      <c r="C243" s="363"/>
      <c r="D243" s="98" t="s">
        <v>291</v>
      </c>
      <c r="E243" s="98" t="s">
        <v>478</v>
      </c>
      <c r="F243" s="98" t="s">
        <v>484</v>
      </c>
      <c r="G243" s="366"/>
    </row>
    <row r="244" spans="1:7" ht="15" thickBot="1" x14ac:dyDescent="0.35">
      <c r="A244" s="358"/>
      <c r="B244" s="373"/>
      <c r="C244" s="364"/>
      <c r="D244" s="99">
        <v>2.23</v>
      </c>
      <c r="E244" s="99">
        <v>6.82</v>
      </c>
      <c r="F244" s="99">
        <v>5.63</v>
      </c>
      <c r="G244" s="367"/>
    </row>
    <row r="245" spans="1:7" x14ac:dyDescent="0.3">
      <c r="A245" s="112"/>
      <c r="B245" s="103"/>
      <c r="C245" s="84"/>
      <c r="D245" s="82"/>
      <c r="E245" s="82"/>
      <c r="F245" s="104"/>
      <c r="G245" s="113"/>
    </row>
    <row r="246" spans="1:7" ht="15" customHeight="1" x14ac:dyDescent="0.3">
      <c r="A246" s="356" t="s">
        <v>325</v>
      </c>
      <c r="B246" s="371" t="s">
        <v>281</v>
      </c>
      <c r="C246" s="362" t="s">
        <v>13</v>
      </c>
      <c r="D246" s="98" t="s">
        <v>288</v>
      </c>
      <c r="E246" s="98" t="s">
        <v>477</v>
      </c>
      <c r="F246" s="98" t="s">
        <v>458</v>
      </c>
      <c r="G246" s="365">
        <f>TRUNC(MEDIAN(D248:F248),2)</f>
        <v>5.52</v>
      </c>
    </row>
    <row r="247" spans="1:7" x14ac:dyDescent="0.3">
      <c r="A247" s="357"/>
      <c r="B247" s="372"/>
      <c r="C247" s="363"/>
      <c r="D247" s="98" t="s">
        <v>291</v>
      </c>
      <c r="E247" s="98" t="s">
        <v>478</v>
      </c>
      <c r="F247" s="98" t="s">
        <v>459</v>
      </c>
      <c r="G247" s="366"/>
    </row>
    <row r="248" spans="1:7" ht="15" thickBot="1" x14ac:dyDescent="0.35">
      <c r="A248" s="358"/>
      <c r="B248" s="373"/>
      <c r="C248" s="364"/>
      <c r="D248" s="99">
        <v>2.27</v>
      </c>
      <c r="E248" s="99">
        <v>8.58</v>
      </c>
      <c r="F248" s="99">
        <v>5.52</v>
      </c>
      <c r="G248" s="367"/>
    </row>
    <row r="249" spans="1:7" x14ac:dyDescent="0.3">
      <c r="A249" s="112"/>
      <c r="B249" s="103"/>
      <c r="C249" s="84"/>
      <c r="D249" s="82"/>
      <c r="E249" s="82"/>
      <c r="F249" s="104"/>
      <c r="G249" s="113"/>
    </row>
    <row r="250" spans="1:7" ht="15" customHeight="1" x14ac:dyDescent="0.3">
      <c r="A250" s="356" t="s">
        <v>326</v>
      </c>
      <c r="B250" s="371" t="s">
        <v>286</v>
      </c>
      <c r="C250" s="362" t="s">
        <v>13</v>
      </c>
      <c r="D250" s="98" t="s">
        <v>288</v>
      </c>
      <c r="E250" s="98" t="s">
        <v>289</v>
      </c>
      <c r="F250" s="98" t="s">
        <v>287</v>
      </c>
      <c r="G250" s="365">
        <f>TRUNC(MEDIAN(D252:F252),2)</f>
        <v>24.01</v>
      </c>
    </row>
    <row r="251" spans="1:7" x14ac:dyDescent="0.3">
      <c r="A251" s="357"/>
      <c r="B251" s="372"/>
      <c r="C251" s="363"/>
      <c r="D251" s="98" t="s">
        <v>291</v>
      </c>
      <c r="E251" s="98" t="s">
        <v>292</v>
      </c>
      <c r="F251" s="98" t="s">
        <v>290</v>
      </c>
      <c r="G251" s="366"/>
    </row>
    <row r="252" spans="1:7" ht="15" thickBot="1" x14ac:dyDescent="0.35">
      <c r="A252" s="358"/>
      <c r="B252" s="373"/>
      <c r="C252" s="364"/>
      <c r="D252" s="99">
        <v>19.739999999999998</v>
      </c>
      <c r="E252" s="99">
        <v>25.35</v>
      </c>
      <c r="F252" s="99">
        <v>24.01</v>
      </c>
      <c r="G252" s="367"/>
    </row>
    <row r="253" spans="1:7" x14ac:dyDescent="0.3">
      <c r="A253" s="112"/>
      <c r="B253" s="103"/>
      <c r="C253" s="84"/>
      <c r="D253" s="82"/>
      <c r="E253" s="82"/>
      <c r="F253" s="104"/>
      <c r="G253" s="113"/>
    </row>
    <row r="254" spans="1:7" ht="15" customHeight="1" x14ac:dyDescent="0.3">
      <c r="A254" s="356" t="s">
        <v>327</v>
      </c>
      <c r="B254" s="359" t="s">
        <v>293</v>
      </c>
      <c r="C254" s="362" t="s">
        <v>13</v>
      </c>
      <c r="D254" s="98" t="s">
        <v>288</v>
      </c>
      <c r="E254" s="98" t="s">
        <v>289</v>
      </c>
      <c r="F254" s="98" t="s">
        <v>287</v>
      </c>
      <c r="G254" s="365">
        <f>TRUNC(MEDIAN(D256:F256),2)</f>
        <v>3.45</v>
      </c>
    </row>
    <row r="255" spans="1:7" x14ac:dyDescent="0.3">
      <c r="A255" s="357"/>
      <c r="B255" s="360"/>
      <c r="C255" s="363"/>
      <c r="D255" s="98" t="s">
        <v>291</v>
      </c>
      <c r="E255" s="98" t="s">
        <v>292</v>
      </c>
      <c r="F255" s="98" t="s">
        <v>290</v>
      </c>
      <c r="G255" s="366"/>
    </row>
    <row r="256" spans="1:7" ht="15" thickBot="1" x14ac:dyDescent="0.35">
      <c r="A256" s="358"/>
      <c r="B256" s="361"/>
      <c r="C256" s="364"/>
      <c r="D256" s="99">
        <v>3.2</v>
      </c>
      <c r="E256" s="99">
        <v>3.98</v>
      </c>
      <c r="F256" s="99">
        <v>3.45</v>
      </c>
      <c r="G256" s="367"/>
    </row>
    <row r="258" spans="1:7" ht="15" customHeight="1" x14ac:dyDescent="0.3">
      <c r="A258" s="356" t="s">
        <v>604</v>
      </c>
      <c r="B258" s="359" t="s">
        <v>605</v>
      </c>
      <c r="C258" s="362" t="s">
        <v>13</v>
      </c>
      <c r="D258" s="98" t="s">
        <v>448</v>
      </c>
      <c r="E258" s="98" t="s">
        <v>525</v>
      </c>
      <c r="F258" s="98"/>
      <c r="G258" s="365">
        <f>TRUNC(MEDIAN(D260:F260),2)</f>
        <v>3459.42</v>
      </c>
    </row>
    <row r="259" spans="1:7" x14ac:dyDescent="0.3">
      <c r="A259" s="357"/>
      <c r="B259" s="360"/>
      <c r="C259" s="363"/>
      <c r="D259" s="98" t="s">
        <v>291</v>
      </c>
      <c r="E259" s="98" t="s">
        <v>526</v>
      </c>
      <c r="F259" s="98"/>
      <c r="G259" s="366"/>
    </row>
    <row r="260" spans="1:7" ht="15" thickBot="1" x14ac:dyDescent="0.35">
      <c r="A260" s="358"/>
      <c r="B260" s="361"/>
      <c r="C260" s="364"/>
      <c r="D260" s="99">
        <v>4109.5</v>
      </c>
      <c r="E260" s="99">
        <v>2809.34</v>
      </c>
      <c r="F260" s="99"/>
      <c r="G260" s="367"/>
    </row>
    <row r="361" spans="3:3" x14ac:dyDescent="0.3">
      <c r="C361" s="123" t="e">
        <f>_xlfn.SINGLE('MAPA DE COTAÇÃO'!#REF!)</f>
        <v>#REF!</v>
      </c>
    </row>
  </sheetData>
  <mergeCells count="249">
    <mergeCell ref="A258:A260"/>
    <mergeCell ref="B258:B260"/>
    <mergeCell ref="C258:C260"/>
    <mergeCell ref="G258:G260"/>
    <mergeCell ref="A98:A100"/>
    <mergeCell ref="B98:B100"/>
    <mergeCell ref="C98:C100"/>
    <mergeCell ref="G98:G100"/>
    <mergeCell ref="A238:A240"/>
    <mergeCell ref="B238:B240"/>
    <mergeCell ref="C238:C240"/>
    <mergeCell ref="G238:G240"/>
    <mergeCell ref="A242:A244"/>
    <mergeCell ref="B242:B244"/>
    <mergeCell ref="C242:C244"/>
    <mergeCell ref="G242:G244"/>
    <mergeCell ref="A226:A228"/>
    <mergeCell ref="B226:B228"/>
    <mergeCell ref="C226:C228"/>
    <mergeCell ref="G226:G228"/>
    <mergeCell ref="A230:A232"/>
    <mergeCell ref="B230:B232"/>
    <mergeCell ref="C230:C232"/>
    <mergeCell ref="G230:G232"/>
    <mergeCell ref="A234:A236"/>
    <mergeCell ref="B234:B236"/>
    <mergeCell ref="C234:C236"/>
    <mergeCell ref="G234:G236"/>
    <mergeCell ref="A214:A216"/>
    <mergeCell ref="B214:B216"/>
    <mergeCell ref="C214:C216"/>
    <mergeCell ref="G214:G216"/>
    <mergeCell ref="A218:A220"/>
    <mergeCell ref="B218:B220"/>
    <mergeCell ref="C218:C220"/>
    <mergeCell ref="G218:G220"/>
    <mergeCell ref="A222:A224"/>
    <mergeCell ref="B222:B224"/>
    <mergeCell ref="C222:C224"/>
    <mergeCell ref="G222:G224"/>
    <mergeCell ref="A206:A208"/>
    <mergeCell ref="B206:B208"/>
    <mergeCell ref="C206:C208"/>
    <mergeCell ref="G206:G208"/>
    <mergeCell ref="A198:A200"/>
    <mergeCell ref="B198:B200"/>
    <mergeCell ref="C198:C200"/>
    <mergeCell ref="G198:G200"/>
    <mergeCell ref="A210:A212"/>
    <mergeCell ref="B210:B212"/>
    <mergeCell ref="C210:C212"/>
    <mergeCell ref="G210:G212"/>
    <mergeCell ref="A194:A196"/>
    <mergeCell ref="B194:B196"/>
    <mergeCell ref="C194:C196"/>
    <mergeCell ref="G194:G196"/>
    <mergeCell ref="A202:A204"/>
    <mergeCell ref="B202:B204"/>
    <mergeCell ref="C202:C204"/>
    <mergeCell ref="G202:G204"/>
    <mergeCell ref="A182:A184"/>
    <mergeCell ref="B182:B184"/>
    <mergeCell ref="C182:C184"/>
    <mergeCell ref="G182:G184"/>
    <mergeCell ref="A186:A188"/>
    <mergeCell ref="B186:B188"/>
    <mergeCell ref="C186:C188"/>
    <mergeCell ref="G186:G188"/>
    <mergeCell ref="A190:A192"/>
    <mergeCell ref="B190:B192"/>
    <mergeCell ref="C190:C192"/>
    <mergeCell ref="G190:G192"/>
    <mergeCell ref="A166:A168"/>
    <mergeCell ref="B166:B168"/>
    <mergeCell ref="C166:C168"/>
    <mergeCell ref="G166:G168"/>
    <mergeCell ref="A174:A176"/>
    <mergeCell ref="B174:B176"/>
    <mergeCell ref="C174:C176"/>
    <mergeCell ref="G174:G176"/>
    <mergeCell ref="A162:A164"/>
    <mergeCell ref="B162:B164"/>
    <mergeCell ref="C162:C164"/>
    <mergeCell ref="G162:G164"/>
    <mergeCell ref="A170:A172"/>
    <mergeCell ref="B170:B172"/>
    <mergeCell ref="C170:C172"/>
    <mergeCell ref="G170:G172"/>
    <mergeCell ref="G154:G156"/>
    <mergeCell ref="A150:A152"/>
    <mergeCell ref="B150:B152"/>
    <mergeCell ref="C150:C152"/>
    <mergeCell ref="G150:G152"/>
    <mergeCell ref="A154:A156"/>
    <mergeCell ref="B154:B156"/>
    <mergeCell ref="C154:C156"/>
    <mergeCell ref="A158:A160"/>
    <mergeCell ref="B158:B160"/>
    <mergeCell ref="C158:C160"/>
    <mergeCell ref="G158:G160"/>
    <mergeCell ref="A138:A140"/>
    <mergeCell ref="B138:B140"/>
    <mergeCell ref="C138:C140"/>
    <mergeCell ref="G138:G140"/>
    <mergeCell ref="A142:A144"/>
    <mergeCell ref="B142:B144"/>
    <mergeCell ref="C142:C144"/>
    <mergeCell ref="G142:G144"/>
    <mergeCell ref="A146:A148"/>
    <mergeCell ref="B146:B148"/>
    <mergeCell ref="C146:C148"/>
    <mergeCell ref="G146:G148"/>
    <mergeCell ref="A106:A108"/>
    <mergeCell ref="B106:B108"/>
    <mergeCell ref="C106:C108"/>
    <mergeCell ref="G106:G108"/>
    <mergeCell ref="A126:A128"/>
    <mergeCell ref="B126:B128"/>
    <mergeCell ref="C126:C128"/>
    <mergeCell ref="G126:G128"/>
    <mergeCell ref="A134:A136"/>
    <mergeCell ref="B134:B136"/>
    <mergeCell ref="C134:C136"/>
    <mergeCell ref="G134:G136"/>
    <mergeCell ref="A130:A132"/>
    <mergeCell ref="B130:B132"/>
    <mergeCell ref="C130:C132"/>
    <mergeCell ref="G130:G132"/>
    <mergeCell ref="A114:A116"/>
    <mergeCell ref="B114:B116"/>
    <mergeCell ref="C114:C116"/>
    <mergeCell ref="G114:G116"/>
    <mergeCell ref="A110:A112"/>
    <mergeCell ref="B110:B112"/>
    <mergeCell ref="C110:C112"/>
    <mergeCell ref="G110:G112"/>
    <mergeCell ref="A30:A32"/>
    <mergeCell ref="B30:B32"/>
    <mergeCell ref="C30:C32"/>
    <mergeCell ref="G30:G32"/>
    <mergeCell ref="A46:A48"/>
    <mergeCell ref="B46:B48"/>
    <mergeCell ref="C46:C48"/>
    <mergeCell ref="G46:G48"/>
    <mergeCell ref="B9:C9"/>
    <mergeCell ref="B10:C10"/>
    <mergeCell ref="B11:C11"/>
    <mergeCell ref="A14:G14"/>
    <mergeCell ref="A18:A20"/>
    <mergeCell ref="B18:B20"/>
    <mergeCell ref="C18:C20"/>
    <mergeCell ref="G18:G20"/>
    <mergeCell ref="A22:A24"/>
    <mergeCell ref="B22:B24"/>
    <mergeCell ref="C22:C24"/>
    <mergeCell ref="G22:G24"/>
    <mergeCell ref="A26:A28"/>
    <mergeCell ref="B26:B28"/>
    <mergeCell ref="C26:C28"/>
    <mergeCell ref="G26:G28"/>
    <mergeCell ref="A34:A36"/>
    <mergeCell ref="B34:B36"/>
    <mergeCell ref="C34:C36"/>
    <mergeCell ref="G34:G36"/>
    <mergeCell ref="A38:A40"/>
    <mergeCell ref="B38:B40"/>
    <mergeCell ref="C38:C40"/>
    <mergeCell ref="G38:G40"/>
    <mergeCell ref="A42:A44"/>
    <mergeCell ref="B42:B44"/>
    <mergeCell ref="C42:C44"/>
    <mergeCell ref="G42:G44"/>
    <mergeCell ref="A62:A64"/>
    <mergeCell ref="B62:B64"/>
    <mergeCell ref="C62:C64"/>
    <mergeCell ref="G62:G64"/>
    <mergeCell ref="A50:A52"/>
    <mergeCell ref="B50:B52"/>
    <mergeCell ref="C50:C52"/>
    <mergeCell ref="G50:G52"/>
    <mergeCell ref="A54:A56"/>
    <mergeCell ref="B54:B56"/>
    <mergeCell ref="C54:C56"/>
    <mergeCell ref="G54:G56"/>
    <mergeCell ref="A58:A60"/>
    <mergeCell ref="B58:B60"/>
    <mergeCell ref="C58:C60"/>
    <mergeCell ref="G58:G60"/>
    <mergeCell ref="G78:G80"/>
    <mergeCell ref="A82:A84"/>
    <mergeCell ref="B82:B84"/>
    <mergeCell ref="C82:C84"/>
    <mergeCell ref="G82:G84"/>
    <mergeCell ref="A66:A68"/>
    <mergeCell ref="B66:B68"/>
    <mergeCell ref="C66:C68"/>
    <mergeCell ref="G66:G68"/>
    <mergeCell ref="A70:A72"/>
    <mergeCell ref="B70:B72"/>
    <mergeCell ref="C70:C72"/>
    <mergeCell ref="G70:G72"/>
    <mergeCell ref="A178:A180"/>
    <mergeCell ref="B178:B180"/>
    <mergeCell ref="C178:C180"/>
    <mergeCell ref="G178:G180"/>
    <mergeCell ref="A254:A256"/>
    <mergeCell ref="B254:B256"/>
    <mergeCell ref="C254:C256"/>
    <mergeCell ref="G254:G256"/>
    <mergeCell ref="B12:C13"/>
    <mergeCell ref="A102:A104"/>
    <mergeCell ref="B102:B104"/>
    <mergeCell ref="C102:C104"/>
    <mergeCell ref="G102:G104"/>
    <mergeCell ref="A246:A248"/>
    <mergeCell ref="B246:B248"/>
    <mergeCell ref="C246:C248"/>
    <mergeCell ref="G246:G248"/>
    <mergeCell ref="A250:A252"/>
    <mergeCell ref="B250:B252"/>
    <mergeCell ref="C250:C252"/>
    <mergeCell ref="G250:G252"/>
    <mergeCell ref="A74:A76"/>
    <mergeCell ref="B74:B76"/>
    <mergeCell ref="C74:C76"/>
    <mergeCell ref="A118:A120"/>
    <mergeCell ref="B118:B120"/>
    <mergeCell ref="C118:C120"/>
    <mergeCell ref="G118:G120"/>
    <mergeCell ref="A122:A124"/>
    <mergeCell ref="B122:B124"/>
    <mergeCell ref="C122:C124"/>
    <mergeCell ref="G122:G124"/>
    <mergeCell ref="G74:G76"/>
    <mergeCell ref="A90:A92"/>
    <mergeCell ref="B90:B92"/>
    <mergeCell ref="C90:C92"/>
    <mergeCell ref="G90:G92"/>
    <mergeCell ref="A94:A96"/>
    <mergeCell ref="B94:B96"/>
    <mergeCell ref="C94:C96"/>
    <mergeCell ref="G94:G96"/>
    <mergeCell ref="A86:A88"/>
    <mergeCell ref="B86:B88"/>
    <mergeCell ref="C86:C88"/>
    <mergeCell ref="G86:G88"/>
    <mergeCell ref="A78:A80"/>
    <mergeCell ref="B78:B80"/>
    <mergeCell ref="C78:C80"/>
  </mergeCells>
  <phoneticPr fontId="19" type="noConversion"/>
  <printOptions horizontalCentered="1"/>
  <pageMargins left="0.19685039370078741" right="0.19685039370078741" top="0.19685039370078741" bottom="0.39370078740157483" header="0.19685039370078741" footer="0.19685039370078741"/>
  <pageSetup paperSize="9" scale="59" orientation="portrait" r:id="rId1"/>
  <headerFooter>
    <oddFooter>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2"/>
  <sheetViews>
    <sheetView showGridLines="0" view="pageBreakPreview" topLeftCell="A7" zoomScaleNormal="100" zoomScaleSheetLayoutView="100" zoomScalePageLayoutView="70" workbookViewId="0">
      <selection activeCell="A14" sqref="A14:H14"/>
    </sheetView>
  </sheetViews>
  <sheetFormatPr defaultColWidth="9.109375" defaultRowHeight="13.8" x14ac:dyDescent="0.3"/>
  <cols>
    <col min="1" max="1" width="13.6640625" style="1" customWidth="1"/>
    <col min="2" max="2" width="9.109375" style="1"/>
    <col min="3" max="3" width="14.33203125" style="1" customWidth="1"/>
    <col min="4" max="4" width="41.33203125" style="1" customWidth="1"/>
    <col min="5" max="5" width="18.33203125" style="1" customWidth="1"/>
    <col min="6" max="6" width="11.33203125" style="1" customWidth="1"/>
    <col min="7" max="7" width="15.109375" style="29" customWidth="1"/>
    <col min="8" max="8" width="15.5546875" style="29" customWidth="1"/>
    <col min="9" max="16384" width="9.109375" style="1"/>
  </cols>
  <sheetData>
    <row r="1" spans="1:8" x14ac:dyDescent="0.3">
      <c r="A1" s="17"/>
      <c r="B1" s="18"/>
      <c r="C1" s="18"/>
      <c r="D1" s="18"/>
      <c r="E1" s="18"/>
      <c r="F1" s="18"/>
      <c r="G1" s="26"/>
      <c r="H1" s="54"/>
    </row>
    <row r="2" spans="1:8" x14ac:dyDescent="0.3">
      <c r="A2" s="21"/>
      <c r="B2" s="20"/>
      <c r="C2" s="20"/>
      <c r="D2" s="20"/>
      <c r="E2" s="20"/>
      <c r="F2" s="20"/>
      <c r="G2" s="27"/>
      <c r="H2" s="55"/>
    </row>
    <row r="3" spans="1:8" x14ac:dyDescent="0.3">
      <c r="A3" s="21"/>
      <c r="B3" s="20"/>
      <c r="C3" s="20"/>
      <c r="D3" s="20"/>
      <c r="E3" s="20"/>
      <c r="F3" s="20"/>
      <c r="G3" s="27"/>
      <c r="H3" s="55"/>
    </row>
    <row r="4" spans="1:8" x14ac:dyDescent="0.3">
      <c r="A4" s="21"/>
      <c r="B4" s="20"/>
      <c r="C4" s="20"/>
      <c r="D4" s="20"/>
      <c r="E4" s="20"/>
      <c r="F4" s="20"/>
      <c r="G4" s="27"/>
      <c r="H4" s="55"/>
    </row>
    <row r="5" spans="1:8" x14ac:dyDescent="0.3">
      <c r="A5" s="21"/>
      <c r="B5" s="20"/>
      <c r="C5" s="20"/>
      <c r="D5" s="20"/>
      <c r="E5" s="20"/>
      <c r="F5" s="20"/>
      <c r="G5" s="27"/>
      <c r="H5" s="55"/>
    </row>
    <row r="6" spans="1:8" ht="35.4" customHeight="1" x14ac:dyDescent="0.3">
      <c r="A6" s="21"/>
      <c r="B6" s="20"/>
      <c r="C6" s="20"/>
      <c r="D6" s="20"/>
      <c r="E6" s="20"/>
      <c r="F6" s="20"/>
      <c r="G6" s="27"/>
      <c r="H6" s="55"/>
    </row>
    <row r="7" spans="1:8" x14ac:dyDescent="0.3">
      <c r="A7" s="21"/>
      <c r="B7" s="20"/>
      <c r="C7" s="20"/>
      <c r="D7" s="20"/>
      <c r="E7" s="20"/>
      <c r="F7" s="20"/>
      <c r="G7" s="27"/>
      <c r="H7" s="55"/>
    </row>
    <row r="8" spans="1:8" ht="11.4" customHeight="1" thickBot="1" x14ac:dyDescent="0.35">
      <c r="A8" s="21"/>
      <c r="B8" s="20"/>
      <c r="C8" s="20"/>
      <c r="D8" s="20"/>
      <c r="E8" s="20"/>
      <c r="F8" s="20"/>
      <c r="G8" s="27"/>
      <c r="H8" s="55"/>
    </row>
    <row r="9" spans="1:8" x14ac:dyDescent="0.3">
      <c r="A9" s="31" t="str">
        <f>CAPA!A10</f>
        <v>OBRA:</v>
      </c>
      <c r="B9" s="319" t="str">
        <f>CAPA!D10</f>
        <v>INSTALAÇÕES ELÉTRICAS/LÓGICAS</v>
      </c>
      <c r="C9" s="319"/>
      <c r="D9" s="319"/>
      <c r="E9" s="32" t="str">
        <f>CAPA!A20</f>
        <v>BDI (SERVIÇOS):</v>
      </c>
      <c r="F9" s="33">
        <f>CAPA!D20</f>
        <v>0.28347674918197008</v>
      </c>
      <c r="G9" s="35" t="str">
        <f>CAPA!C23</f>
        <v>REVISÃO:</v>
      </c>
      <c r="H9" s="56" t="str">
        <f>CAPA!D23</f>
        <v>REV04</v>
      </c>
    </row>
    <row r="10" spans="1:8" x14ac:dyDescent="0.3">
      <c r="A10" s="36" t="str">
        <f>CAPA!A11</f>
        <v>PROPRIETÁRIO:</v>
      </c>
      <c r="B10" s="320" t="str">
        <f>CAPA!D11</f>
        <v>SENAR/MT</v>
      </c>
      <c r="C10" s="320"/>
      <c r="D10" s="320"/>
      <c r="E10" s="37" t="str">
        <f>CAPA!A22</f>
        <v>REFERÊNCIA:</v>
      </c>
      <c r="F10" s="38" t="str">
        <f>CAPA!D22</f>
        <v>SINAPI-MT</v>
      </c>
      <c r="G10" s="30" t="str">
        <f>RESUMO!G15</f>
        <v>DATA BASE:</v>
      </c>
      <c r="H10" s="85" t="str">
        <f>CAPA!I20</f>
        <v>JAN/2022</v>
      </c>
    </row>
    <row r="11" spans="1:8" x14ac:dyDescent="0.3">
      <c r="A11" s="36" t="str">
        <f>CAPA!A12</f>
        <v>MUNICÍPIO:</v>
      </c>
      <c r="B11" s="320" t="str">
        <f>CAPA!D12</f>
        <v>Cuiabá/MT</v>
      </c>
      <c r="C11" s="320"/>
      <c r="D11" s="202"/>
      <c r="E11" s="37" t="str">
        <f>CAPA!F20</f>
        <v>DATA BASE DO ORÇAMENTO:</v>
      </c>
      <c r="F11" s="40" t="str">
        <f>CAPA!D23</f>
        <v>REV04</v>
      </c>
      <c r="G11" s="30" t="str">
        <f>CAPA!F22</f>
        <v>ENCARGOS:</v>
      </c>
      <c r="H11" s="57" t="str">
        <f>CAPA!I22</f>
        <v>Desonerado</v>
      </c>
    </row>
    <row r="12" spans="1:8" ht="15" customHeight="1" x14ac:dyDescent="0.3">
      <c r="A12" s="36" t="str">
        <f>CAPA!A13</f>
        <v>ENDEREÇO:</v>
      </c>
      <c r="B12" s="342" t="str">
        <f>CAPA!D13</f>
        <v xml:space="preserve">Rua Eng. Edgard Prado Arze, S/N , Quadra 01 - Setor A, Centro Político Administrativo
</v>
      </c>
      <c r="C12" s="342"/>
      <c r="D12" s="342"/>
      <c r="E12" s="37" t="str">
        <f>CAPA!F21</f>
        <v>PRAZO DE EXECUÇÃO:</v>
      </c>
      <c r="F12" s="41" t="str">
        <f>CAPA!I21</f>
        <v>03 meses</v>
      </c>
      <c r="G12" s="30"/>
      <c r="H12" s="57"/>
    </row>
    <row r="13" spans="1:8" ht="15.75" customHeight="1" thickBot="1" x14ac:dyDescent="0.35">
      <c r="A13" s="23"/>
      <c r="B13" s="343"/>
      <c r="C13" s="343"/>
      <c r="D13" s="343"/>
      <c r="E13" s="24"/>
      <c r="F13" s="24"/>
      <c r="G13" s="28"/>
      <c r="H13" s="58"/>
    </row>
    <row r="14" spans="1:8" ht="21.6" thickBot="1" x14ac:dyDescent="0.35">
      <c r="A14" s="347" t="s">
        <v>42</v>
      </c>
      <c r="B14" s="348"/>
      <c r="C14" s="348"/>
      <c r="D14" s="348"/>
      <c r="E14" s="348"/>
      <c r="F14" s="348"/>
      <c r="G14" s="348"/>
      <c r="H14" s="349"/>
    </row>
    <row r="15" spans="1:8" ht="21.6" thickBot="1" x14ac:dyDescent="0.35">
      <c r="A15" s="59"/>
      <c r="B15" s="47"/>
      <c r="C15" s="47"/>
      <c r="D15" s="47"/>
      <c r="E15" s="47"/>
      <c r="F15" s="47"/>
      <c r="G15" s="47"/>
      <c r="H15" s="60"/>
    </row>
    <row r="16" spans="1:8" ht="13.95" customHeight="1" x14ac:dyDescent="0.3">
      <c r="A16" s="385" t="s">
        <v>44</v>
      </c>
      <c r="B16" s="386"/>
      <c r="C16" s="386"/>
      <c r="D16" s="386"/>
      <c r="E16" s="386"/>
      <c r="F16" s="386"/>
      <c r="G16" s="383" t="s">
        <v>45</v>
      </c>
      <c r="H16" s="384"/>
    </row>
    <row r="17" spans="1:8" ht="13.95" customHeight="1" x14ac:dyDescent="0.3">
      <c r="A17" s="387" t="s">
        <v>46</v>
      </c>
      <c r="B17" s="388"/>
      <c r="C17" s="388"/>
      <c r="D17" s="388"/>
      <c r="E17" s="388"/>
      <c r="F17" s="388"/>
      <c r="G17" s="381">
        <v>0.04</v>
      </c>
      <c r="H17" s="382"/>
    </row>
    <row r="18" spans="1:8" ht="13.95" customHeight="1" x14ac:dyDescent="0.3">
      <c r="A18" s="387" t="s">
        <v>47</v>
      </c>
      <c r="B18" s="388"/>
      <c r="C18" s="388"/>
      <c r="D18" s="388"/>
      <c r="E18" s="388"/>
      <c r="F18" s="388"/>
      <c r="G18" s="381">
        <v>1.23E-2</v>
      </c>
      <c r="H18" s="382"/>
    </row>
    <row r="19" spans="1:8" x14ac:dyDescent="0.3">
      <c r="A19" s="387" t="s">
        <v>48</v>
      </c>
      <c r="B19" s="388"/>
      <c r="C19" s="388"/>
      <c r="D19" s="388"/>
      <c r="E19" s="388"/>
      <c r="F19" s="388"/>
      <c r="G19" s="381">
        <v>1.2699999999999999E-2</v>
      </c>
      <c r="H19" s="382"/>
    </row>
    <row r="20" spans="1:8" ht="14.4" customHeight="1" x14ac:dyDescent="0.3">
      <c r="A20" s="387" t="s">
        <v>95</v>
      </c>
      <c r="B20" s="388"/>
      <c r="C20" s="388"/>
      <c r="D20" s="388"/>
      <c r="E20" s="388"/>
      <c r="F20" s="388"/>
      <c r="G20" s="381">
        <v>8.0000000000000002E-3</v>
      </c>
      <c r="H20" s="382"/>
    </row>
    <row r="21" spans="1:8" ht="13.95" customHeight="1" x14ac:dyDescent="0.3">
      <c r="A21" s="387" t="s">
        <v>49</v>
      </c>
      <c r="B21" s="388"/>
      <c r="C21" s="388"/>
      <c r="D21" s="388"/>
      <c r="E21" s="388"/>
      <c r="F21" s="388"/>
      <c r="G21" s="381">
        <v>7.3999999999999996E-2</v>
      </c>
      <c r="H21" s="382"/>
    </row>
    <row r="22" spans="1:8" x14ac:dyDescent="0.3">
      <c r="A22" s="389" t="s">
        <v>50</v>
      </c>
      <c r="B22" s="390"/>
      <c r="C22" s="390"/>
      <c r="D22" s="390"/>
      <c r="E22" s="390"/>
      <c r="F22" s="390"/>
      <c r="G22" s="391">
        <f>SUM(G17:H21)</f>
        <v>0.14700000000000002</v>
      </c>
      <c r="H22" s="392"/>
    </row>
    <row r="23" spans="1:8" ht="15.6" x14ac:dyDescent="0.3">
      <c r="A23" s="395" t="s">
        <v>53</v>
      </c>
      <c r="B23" s="396"/>
      <c r="C23" s="396"/>
      <c r="D23" s="396"/>
      <c r="E23" s="396"/>
      <c r="F23" s="396"/>
      <c r="G23" s="393" t="s">
        <v>45</v>
      </c>
      <c r="H23" s="394"/>
    </row>
    <row r="24" spans="1:8" x14ac:dyDescent="0.3">
      <c r="A24" s="387" t="s">
        <v>51</v>
      </c>
      <c r="B24" s="388"/>
      <c r="C24" s="388"/>
      <c r="D24" s="388"/>
      <c r="E24" s="388"/>
      <c r="F24" s="388"/>
      <c r="G24" s="381">
        <v>6.4999999999999997E-3</v>
      </c>
      <c r="H24" s="382"/>
    </row>
    <row r="25" spans="1:8" x14ac:dyDescent="0.3">
      <c r="A25" s="387" t="s">
        <v>52</v>
      </c>
      <c r="B25" s="388"/>
      <c r="C25" s="388"/>
      <c r="D25" s="388"/>
      <c r="E25" s="388"/>
      <c r="F25" s="388"/>
      <c r="G25" s="381">
        <v>0.03</v>
      </c>
      <c r="H25" s="382"/>
    </row>
    <row r="26" spans="1:8" x14ac:dyDescent="0.3">
      <c r="A26" s="387" t="s">
        <v>96</v>
      </c>
      <c r="B26" s="388"/>
      <c r="C26" s="388"/>
      <c r="D26" s="388"/>
      <c r="E26" s="388"/>
      <c r="F26" s="388"/>
      <c r="G26" s="381">
        <v>0.02</v>
      </c>
      <c r="H26" s="382"/>
    </row>
    <row r="27" spans="1:8" x14ac:dyDescent="0.3">
      <c r="A27" s="387" t="s">
        <v>176</v>
      </c>
      <c r="B27" s="388"/>
      <c r="C27" s="388"/>
      <c r="D27" s="388"/>
      <c r="E27" s="388"/>
      <c r="F27" s="388"/>
      <c r="G27" s="381">
        <v>4.4999999999999998E-2</v>
      </c>
      <c r="H27" s="382"/>
    </row>
    <row r="28" spans="1:8" x14ac:dyDescent="0.3">
      <c r="A28" s="389" t="s">
        <v>50</v>
      </c>
      <c r="B28" s="390"/>
      <c r="C28" s="390"/>
      <c r="D28" s="390"/>
      <c r="E28" s="390"/>
      <c r="F28" s="390"/>
      <c r="G28" s="391">
        <f>SUM(G24:H27)</f>
        <v>0.10149999999999999</v>
      </c>
      <c r="H28" s="392"/>
    </row>
    <row r="29" spans="1:8" ht="16.2" thickBot="1" x14ac:dyDescent="0.35">
      <c r="A29" s="401" t="s">
        <v>54</v>
      </c>
      <c r="B29" s="402"/>
      <c r="C29" s="402"/>
      <c r="D29" s="402"/>
      <c r="E29" s="402"/>
      <c r="F29" s="402"/>
      <c r="G29" s="403">
        <f>((((1+G17+G19+G20)*(1+G18)*(1+G21))/(1-G28))-1)</f>
        <v>0.28347674918197008</v>
      </c>
      <c r="H29" s="404">
        <f>((((1+H17+H19+H20)*(1+H18)*(1+H21))/(1-H28))-1)</f>
        <v>0</v>
      </c>
    </row>
    <row r="30" spans="1:8" ht="55.95" customHeight="1" x14ac:dyDescent="0.3">
      <c r="A30" s="405" t="s">
        <v>537</v>
      </c>
      <c r="B30" s="406"/>
      <c r="C30" s="406"/>
      <c r="D30" s="406"/>
      <c r="E30" s="406"/>
      <c r="F30" s="406"/>
      <c r="G30" s="406"/>
      <c r="H30" s="407"/>
    </row>
    <row r="31" spans="1:8" ht="14.4" thickBot="1" x14ac:dyDescent="0.35">
      <c r="A31" s="399"/>
      <c r="B31" s="400"/>
      <c r="C31" s="400"/>
      <c r="D31" s="400"/>
      <c r="E31" s="400"/>
      <c r="F31" s="400"/>
      <c r="G31" s="397"/>
      <c r="H31" s="398"/>
    </row>
    <row r="32" spans="1:8" x14ac:dyDescent="0.3">
      <c r="A32" s="20"/>
      <c r="B32" s="20"/>
      <c r="C32" s="20"/>
      <c r="D32" s="20"/>
      <c r="E32" s="20"/>
      <c r="F32" s="20"/>
      <c r="G32" s="27"/>
      <c r="H32" s="27"/>
    </row>
  </sheetData>
  <mergeCells count="36">
    <mergeCell ref="G31:H31"/>
    <mergeCell ref="A31:F31"/>
    <mergeCell ref="A29:F29"/>
    <mergeCell ref="G29:H29"/>
    <mergeCell ref="A30:H30"/>
    <mergeCell ref="A28:F28"/>
    <mergeCell ref="G21:H21"/>
    <mergeCell ref="G22:H22"/>
    <mergeCell ref="G23:H23"/>
    <mergeCell ref="G28:H28"/>
    <mergeCell ref="A27:F27"/>
    <mergeCell ref="G27:H27"/>
    <mergeCell ref="A21:F21"/>
    <mergeCell ref="A22:F22"/>
    <mergeCell ref="A23:F23"/>
    <mergeCell ref="A26:F26"/>
    <mergeCell ref="G26:H26"/>
    <mergeCell ref="A25:F25"/>
    <mergeCell ref="G25:H25"/>
    <mergeCell ref="A24:F24"/>
    <mergeCell ref="G24:H24"/>
    <mergeCell ref="G17:H17"/>
    <mergeCell ref="G18:H18"/>
    <mergeCell ref="G19:H19"/>
    <mergeCell ref="G20:H20"/>
    <mergeCell ref="B9:D9"/>
    <mergeCell ref="B11:C11"/>
    <mergeCell ref="A14:H14"/>
    <mergeCell ref="G16:H16"/>
    <mergeCell ref="A16:F16"/>
    <mergeCell ref="A17:F17"/>
    <mergeCell ref="A18:F18"/>
    <mergeCell ref="A19:F19"/>
    <mergeCell ref="A20:F20"/>
    <mergeCell ref="B10:D10"/>
    <mergeCell ref="B12:D13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2" fitToHeight="0" orientation="portrait" r:id="rId1"/>
  <headerFooter>
    <oddHeader xml:space="preserve">&amp;C
</oddHeader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5"/>
  <sheetViews>
    <sheetView showGridLines="0" view="pageBreakPreview" zoomScaleNormal="100" zoomScaleSheetLayoutView="100" zoomScalePageLayoutView="70" workbookViewId="0">
      <selection activeCell="F38" sqref="F38"/>
    </sheetView>
  </sheetViews>
  <sheetFormatPr defaultColWidth="9.109375" defaultRowHeight="13.8" x14ac:dyDescent="0.3"/>
  <cols>
    <col min="1" max="1" width="13.6640625" style="1" customWidth="1"/>
    <col min="2" max="2" width="9.109375" style="1"/>
    <col min="3" max="3" width="14.33203125" style="1" customWidth="1"/>
    <col min="4" max="4" width="41.33203125" style="1" customWidth="1"/>
    <col min="5" max="5" width="18.33203125" style="1" customWidth="1"/>
    <col min="6" max="6" width="11.33203125" style="1" customWidth="1"/>
    <col min="7" max="7" width="15.109375" style="29" customWidth="1"/>
    <col min="8" max="8" width="15.5546875" style="29" customWidth="1"/>
    <col min="9" max="16384" width="9.109375" style="1"/>
  </cols>
  <sheetData>
    <row r="1" spans="1:8" x14ac:dyDescent="0.3">
      <c r="A1" s="17"/>
      <c r="B1" s="18"/>
      <c r="C1" s="18"/>
      <c r="D1" s="18"/>
      <c r="E1" s="18"/>
      <c r="F1" s="18"/>
      <c r="G1" s="26"/>
      <c r="H1" s="54"/>
    </row>
    <row r="2" spans="1:8" x14ac:dyDescent="0.3">
      <c r="A2" s="21"/>
      <c r="B2" s="20"/>
      <c r="C2" s="20"/>
      <c r="D2" s="20"/>
      <c r="E2" s="20"/>
      <c r="F2" s="20"/>
      <c r="G2" s="27"/>
      <c r="H2" s="55"/>
    </row>
    <row r="3" spans="1:8" x14ac:dyDescent="0.3">
      <c r="A3" s="21"/>
      <c r="B3" s="20"/>
      <c r="C3" s="20"/>
      <c r="D3" s="20"/>
      <c r="E3" s="20"/>
      <c r="F3" s="20"/>
      <c r="G3" s="27"/>
      <c r="H3" s="55"/>
    </row>
    <row r="4" spans="1:8" x14ac:dyDescent="0.3">
      <c r="A4" s="21"/>
      <c r="B4" s="20"/>
      <c r="C4" s="20"/>
      <c r="D4" s="20"/>
      <c r="E4" s="20"/>
      <c r="F4" s="20"/>
      <c r="G4" s="27"/>
      <c r="H4" s="55"/>
    </row>
    <row r="5" spans="1:8" x14ac:dyDescent="0.3">
      <c r="A5" s="21"/>
      <c r="B5" s="20"/>
      <c r="C5" s="20"/>
      <c r="D5" s="20"/>
      <c r="E5" s="20"/>
      <c r="F5" s="20"/>
      <c r="G5" s="27"/>
      <c r="H5" s="55"/>
    </row>
    <row r="6" spans="1:8" ht="35.4" customHeight="1" x14ac:dyDescent="0.3">
      <c r="A6" s="21"/>
      <c r="B6" s="20"/>
      <c r="C6" s="20"/>
      <c r="D6" s="20"/>
      <c r="E6" s="20"/>
      <c r="F6" s="20"/>
      <c r="G6" s="27"/>
      <c r="H6" s="55"/>
    </row>
    <row r="7" spans="1:8" x14ac:dyDescent="0.3">
      <c r="A7" s="21"/>
      <c r="B7" s="20"/>
      <c r="C7" s="20"/>
      <c r="D7" s="20"/>
      <c r="E7" s="20"/>
      <c r="F7" s="20"/>
      <c r="G7" s="27"/>
      <c r="H7" s="55"/>
    </row>
    <row r="8" spans="1:8" ht="11.4" customHeight="1" thickBot="1" x14ac:dyDescent="0.35">
      <c r="A8" s="21"/>
      <c r="B8" s="20"/>
      <c r="C8" s="20"/>
      <c r="D8" s="20"/>
      <c r="E8" s="20"/>
      <c r="F8" s="20"/>
      <c r="G8" s="27"/>
      <c r="H8" s="55"/>
    </row>
    <row r="9" spans="1:8" x14ac:dyDescent="0.3">
      <c r="A9" s="31" t="str">
        <f>CAPA!A10</f>
        <v>OBRA:</v>
      </c>
      <c r="B9" s="319" t="str">
        <f>CAPA!D10</f>
        <v>INSTALAÇÕES ELÉTRICAS/LÓGICAS</v>
      </c>
      <c r="C9" s="319"/>
      <c r="D9" s="319"/>
      <c r="E9" s="32" t="str">
        <f>CAPA!A20</f>
        <v>BDI (SERVIÇOS):</v>
      </c>
      <c r="F9" s="33">
        <f>CAPA!D20</f>
        <v>0.28347674918197008</v>
      </c>
      <c r="G9" s="35" t="str">
        <f>CAPA!C23</f>
        <v>REVISÃO:</v>
      </c>
      <c r="H9" s="56" t="str">
        <f>CAPA!D23</f>
        <v>REV04</v>
      </c>
    </row>
    <row r="10" spans="1:8" x14ac:dyDescent="0.3">
      <c r="A10" s="36" t="str">
        <f>CAPA!A11</f>
        <v>PROPRIETÁRIO:</v>
      </c>
      <c r="B10" s="320" t="str">
        <f>CAPA!D11</f>
        <v>SENAR/MT</v>
      </c>
      <c r="C10" s="320"/>
      <c r="D10" s="320"/>
      <c r="E10" s="37" t="str">
        <f>CAPA!A22</f>
        <v>REFERÊNCIA:</v>
      </c>
      <c r="F10" s="38" t="str">
        <f>CAPA!D22</f>
        <v>SINAPI-MT</v>
      </c>
      <c r="G10" s="30" t="str">
        <f>RESUMO!G15</f>
        <v>DATA BASE:</v>
      </c>
      <c r="H10" s="85" t="str">
        <f>CAPA!I20</f>
        <v>JAN/2022</v>
      </c>
    </row>
    <row r="11" spans="1:8" x14ac:dyDescent="0.3">
      <c r="A11" s="36" t="str">
        <f>CAPA!A12</f>
        <v>MUNICÍPIO:</v>
      </c>
      <c r="B11" s="320" t="str">
        <f>CAPA!D12</f>
        <v>Cuiabá/MT</v>
      </c>
      <c r="C11" s="320"/>
      <c r="D11" s="202"/>
      <c r="E11" s="37" t="str">
        <f>CAPA!F20</f>
        <v>DATA BASE DO ORÇAMENTO:</v>
      </c>
      <c r="F11" s="40" t="str">
        <f>CAPA!D23</f>
        <v>REV04</v>
      </c>
      <c r="G11" s="30" t="str">
        <f>CAPA!F22</f>
        <v>ENCARGOS:</v>
      </c>
      <c r="H11" s="57" t="str">
        <f>CAPA!I22</f>
        <v>Desonerado</v>
      </c>
    </row>
    <row r="12" spans="1:8" ht="15" customHeight="1" x14ac:dyDescent="0.3">
      <c r="A12" s="36" t="str">
        <f>CAPA!A13</f>
        <v>ENDEREÇO:</v>
      </c>
      <c r="B12" s="342" t="str">
        <f>CAPA!D13</f>
        <v xml:space="preserve">Rua Eng. Edgard Prado Arze, S/N , Quadra 01 - Setor A, Centro Político Administrativo
</v>
      </c>
      <c r="C12" s="342"/>
      <c r="D12" s="342"/>
      <c r="E12" s="37" t="str">
        <f>CAPA!F21</f>
        <v>PRAZO DE EXECUÇÃO:</v>
      </c>
      <c r="F12" s="41" t="str">
        <f>CAPA!I21</f>
        <v>03 meses</v>
      </c>
      <c r="G12" s="30"/>
      <c r="H12" s="57"/>
    </row>
    <row r="13" spans="1:8" ht="15.75" customHeight="1" thickBot="1" x14ac:dyDescent="0.35">
      <c r="A13" s="23"/>
      <c r="B13" s="343"/>
      <c r="C13" s="343"/>
      <c r="D13" s="343"/>
      <c r="E13" s="24"/>
      <c r="F13" s="24"/>
      <c r="G13" s="28"/>
      <c r="H13" s="58"/>
    </row>
    <row r="14" spans="1:8" ht="21.6" thickBot="1" x14ac:dyDescent="0.35">
      <c r="A14" s="347" t="s">
        <v>42</v>
      </c>
      <c r="B14" s="348"/>
      <c r="C14" s="348"/>
      <c r="D14" s="348"/>
      <c r="E14" s="348"/>
      <c r="F14" s="348"/>
      <c r="G14" s="348"/>
      <c r="H14" s="349"/>
    </row>
    <row r="15" spans="1:8" ht="21" x14ac:dyDescent="0.3">
      <c r="A15" s="59"/>
      <c r="B15" s="47"/>
      <c r="C15" s="47"/>
      <c r="D15" s="47"/>
      <c r="E15" s="47"/>
      <c r="F15" s="47"/>
      <c r="G15" s="47"/>
      <c r="H15" s="60"/>
    </row>
    <row r="16" spans="1:8" ht="14.4" thickBot="1" x14ac:dyDescent="0.35">
      <c r="A16" s="429"/>
      <c r="B16" s="430"/>
      <c r="C16" s="430"/>
      <c r="D16" s="430"/>
      <c r="E16" s="430"/>
      <c r="F16" s="430"/>
      <c r="G16" s="431"/>
      <c r="H16" s="432"/>
    </row>
    <row r="17" spans="1:8" x14ac:dyDescent="0.3">
      <c r="A17" s="286" t="s">
        <v>422</v>
      </c>
      <c r="B17" s="287"/>
      <c r="C17" s="287"/>
      <c r="D17" s="287"/>
      <c r="E17" s="287"/>
      <c r="F17" s="287"/>
      <c r="G17" s="287"/>
      <c r="H17" s="436"/>
    </row>
    <row r="18" spans="1:8" s="142" customFormat="1" ht="32.25" customHeight="1" x14ac:dyDescent="0.3">
      <c r="A18" s="412" t="s">
        <v>423</v>
      </c>
      <c r="B18" s="413"/>
      <c r="C18" s="413"/>
      <c r="D18" s="408" t="s">
        <v>424</v>
      </c>
      <c r="E18" s="408"/>
      <c r="F18" s="408"/>
      <c r="G18" s="408"/>
      <c r="H18" s="167">
        <v>3.4500000000000003E-2</v>
      </c>
    </row>
    <row r="19" spans="1:8" s="142" customFormat="1" ht="27.75" customHeight="1" x14ac:dyDescent="0.3">
      <c r="A19" s="412"/>
      <c r="B19" s="413"/>
      <c r="C19" s="413"/>
      <c r="D19" s="408" t="s">
        <v>425</v>
      </c>
      <c r="E19" s="408"/>
      <c r="F19" s="408"/>
      <c r="G19" s="408"/>
      <c r="H19" s="168">
        <v>8.5000000000000006E-3</v>
      </c>
    </row>
    <row r="20" spans="1:8" s="142" customFormat="1" x14ac:dyDescent="0.3">
      <c r="A20" s="412"/>
      <c r="B20" s="413"/>
      <c r="C20" s="413"/>
      <c r="D20" s="408" t="s">
        <v>426</v>
      </c>
      <c r="E20" s="408"/>
      <c r="F20" s="408"/>
      <c r="G20" s="408"/>
      <c r="H20" s="168">
        <v>4.7999999999999996E-3</v>
      </c>
    </row>
    <row r="21" spans="1:8" s="142" customFormat="1" x14ac:dyDescent="0.3">
      <c r="A21" s="412" t="s">
        <v>427</v>
      </c>
      <c r="B21" s="413"/>
      <c r="C21" s="413"/>
      <c r="D21" s="408" t="s">
        <v>428</v>
      </c>
      <c r="E21" s="408"/>
      <c r="F21" s="408"/>
      <c r="G21" s="408"/>
      <c r="H21" s="167">
        <v>8.5000000000000006E-3</v>
      </c>
    </row>
    <row r="22" spans="1:8" s="142" customFormat="1" x14ac:dyDescent="0.3">
      <c r="A22" s="412" t="s">
        <v>429</v>
      </c>
      <c r="B22" s="413"/>
      <c r="C22" s="413"/>
      <c r="D22" s="408" t="s">
        <v>430</v>
      </c>
      <c r="E22" s="408"/>
      <c r="F22" s="408"/>
      <c r="G22" s="408"/>
      <c r="H22" s="167">
        <v>3.5000000000000003E-2</v>
      </c>
    </row>
    <row r="23" spans="1:8" s="142" customFormat="1" x14ac:dyDescent="0.3">
      <c r="A23" s="414" t="s">
        <v>50</v>
      </c>
      <c r="B23" s="415"/>
      <c r="C23" s="415"/>
      <c r="D23" s="415"/>
      <c r="E23" s="415"/>
      <c r="F23" s="415"/>
      <c r="G23" s="415"/>
      <c r="H23" s="169">
        <f>SUM(H18:H22)</f>
        <v>9.1300000000000006E-2</v>
      </c>
    </row>
    <row r="24" spans="1:8" x14ac:dyDescent="0.3">
      <c r="A24" s="433" t="s">
        <v>431</v>
      </c>
      <c r="B24" s="434"/>
      <c r="C24" s="434"/>
      <c r="D24" s="434"/>
      <c r="E24" s="434"/>
      <c r="F24" s="434"/>
      <c r="G24" s="434"/>
      <c r="H24" s="435"/>
    </row>
    <row r="25" spans="1:8" x14ac:dyDescent="0.3">
      <c r="A25" s="418" t="s">
        <v>432</v>
      </c>
      <c r="B25" s="419"/>
      <c r="C25" s="419"/>
      <c r="D25" s="419"/>
      <c r="E25" s="419"/>
      <c r="F25" s="419"/>
      <c r="G25" s="419"/>
      <c r="H25" s="163">
        <v>0</v>
      </c>
    </row>
    <row r="26" spans="1:8" x14ac:dyDescent="0.3">
      <c r="A26" s="418" t="s">
        <v>433</v>
      </c>
      <c r="B26" s="419"/>
      <c r="C26" s="419"/>
      <c r="D26" s="419"/>
      <c r="E26" s="419"/>
      <c r="F26" s="419"/>
      <c r="G26" s="419"/>
      <c r="H26" s="163">
        <v>0.03</v>
      </c>
    </row>
    <row r="27" spans="1:8" x14ac:dyDescent="0.3">
      <c r="A27" s="412" t="s">
        <v>434</v>
      </c>
      <c r="B27" s="413"/>
      <c r="C27" s="413"/>
      <c r="D27" s="413"/>
      <c r="E27" s="413"/>
      <c r="F27" s="413"/>
      <c r="G27" s="413"/>
      <c r="H27" s="163">
        <v>6.4999999999999997E-3</v>
      </c>
    </row>
    <row r="28" spans="1:8" x14ac:dyDescent="0.3">
      <c r="A28" s="412" t="s">
        <v>435</v>
      </c>
      <c r="B28" s="413"/>
      <c r="C28" s="413"/>
      <c r="D28" s="413"/>
      <c r="E28" s="413"/>
      <c r="F28" s="413"/>
      <c r="G28" s="413"/>
      <c r="H28" s="163">
        <v>4.4999999999999998E-2</v>
      </c>
    </row>
    <row r="29" spans="1:8" x14ac:dyDescent="0.3">
      <c r="A29" s="416" t="s">
        <v>436</v>
      </c>
      <c r="B29" s="417"/>
      <c r="C29" s="417"/>
      <c r="D29" s="417"/>
      <c r="E29" s="417"/>
      <c r="F29" s="417"/>
      <c r="G29" s="417"/>
      <c r="H29" s="164">
        <f>SUM(H25:H28)</f>
        <v>8.1499999999999989E-2</v>
      </c>
    </row>
    <row r="30" spans="1:8" x14ac:dyDescent="0.3">
      <c r="A30" s="420"/>
      <c r="B30" s="421"/>
      <c r="C30" s="421"/>
      <c r="D30" s="421"/>
      <c r="E30" s="421"/>
      <c r="F30" s="421"/>
      <c r="G30" s="421"/>
      <c r="H30" s="163"/>
    </row>
    <row r="31" spans="1:8" x14ac:dyDescent="0.3">
      <c r="A31" s="420" t="s">
        <v>437</v>
      </c>
      <c r="B31" s="421"/>
      <c r="C31" s="421"/>
      <c r="D31" s="421"/>
      <c r="E31" s="421"/>
      <c r="F31" s="421"/>
      <c r="G31" s="421"/>
      <c r="H31" s="163"/>
    </row>
    <row r="32" spans="1:8" x14ac:dyDescent="0.3">
      <c r="A32" s="410" t="s">
        <v>438</v>
      </c>
      <c r="B32" s="411"/>
      <c r="C32" s="411"/>
      <c r="D32" s="411"/>
      <c r="E32" s="422" t="s">
        <v>439</v>
      </c>
      <c r="F32" s="422"/>
      <c r="G32" s="422"/>
      <c r="H32" s="165">
        <f>(((1+H18+H19+H20)*(1+H21)*(1+H22)/(1-H29))-1)</f>
        <v>0.19073600489929232</v>
      </c>
    </row>
    <row r="33" spans="1:8" x14ac:dyDescent="0.3">
      <c r="A33" s="410" t="s">
        <v>440</v>
      </c>
      <c r="B33" s="411"/>
      <c r="C33" s="411"/>
      <c r="D33" s="411"/>
      <c r="E33" s="409" t="s">
        <v>439</v>
      </c>
      <c r="F33" s="409"/>
      <c r="G33" s="409"/>
      <c r="H33" s="166">
        <f>H32</f>
        <v>0.19073600489929232</v>
      </c>
    </row>
    <row r="34" spans="1:8" ht="12.75" customHeight="1" x14ac:dyDescent="0.3">
      <c r="A34" s="423" t="s">
        <v>441</v>
      </c>
      <c r="B34" s="424"/>
      <c r="C34" s="424"/>
      <c r="D34" s="424"/>
      <c r="E34" s="424"/>
      <c r="F34" s="424"/>
      <c r="G34" s="424"/>
      <c r="H34" s="425"/>
    </row>
    <row r="35" spans="1:8" ht="33.75" customHeight="1" thickBot="1" x14ac:dyDescent="0.35">
      <c r="A35" s="426"/>
      <c r="B35" s="427"/>
      <c r="C35" s="427"/>
      <c r="D35" s="427"/>
      <c r="E35" s="427"/>
      <c r="F35" s="427"/>
      <c r="G35" s="427"/>
      <c r="H35" s="428"/>
    </row>
  </sheetData>
  <mergeCells count="30">
    <mergeCell ref="B9:D9"/>
    <mergeCell ref="B10:D10"/>
    <mergeCell ref="B11:C11"/>
    <mergeCell ref="A14:H14"/>
    <mergeCell ref="A34:H35"/>
    <mergeCell ref="A16:F16"/>
    <mergeCell ref="G16:H16"/>
    <mergeCell ref="B12:D13"/>
    <mergeCell ref="A26:G26"/>
    <mergeCell ref="A24:H24"/>
    <mergeCell ref="A18:C20"/>
    <mergeCell ref="A17:H17"/>
    <mergeCell ref="D18:G18"/>
    <mergeCell ref="D19:G19"/>
    <mergeCell ref="D20:G20"/>
    <mergeCell ref="D21:G21"/>
    <mergeCell ref="D22:G22"/>
    <mergeCell ref="E33:G33"/>
    <mergeCell ref="A32:D32"/>
    <mergeCell ref="A33:D33"/>
    <mergeCell ref="A21:C21"/>
    <mergeCell ref="A22:C22"/>
    <mergeCell ref="A23:G23"/>
    <mergeCell ref="A29:G29"/>
    <mergeCell ref="A25:G25"/>
    <mergeCell ref="A27:G27"/>
    <mergeCell ref="A28:G28"/>
    <mergeCell ref="A30:G30"/>
    <mergeCell ref="A31:G31"/>
    <mergeCell ref="E32:G3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2" fitToHeight="0" orientation="portrait" r:id="rId1"/>
  <headerFooter>
    <oddHeader xml:space="preserve">&amp;C
</oddHead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CAPA</vt:lpstr>
      <vt:lpstr>RESUMO</vt:lpstr>
      <vt:lpstr>CURVA ABC</vt:lpstr>
      <vt:lpstr>ORÇAMENTO</vt:lpstr>
      <vt:lpstr>COMPOSIÇÃO</vt:lpstr>
      <vt:lpstr>CRONOGRAMA</vt:lpstr>
      <vt:lpstr>MAPA DE COTAÇÃO</vt:lpstr>
      <vt:lpstr>BDI - SERVIÇO</vt:lpstr>
      <vt:lpstr>BDI - EQUPAMENTOS</vt:lpstr>
      <vt:lpstr>'BDI - EQUPAMENTOS'!Area_de_impressao</vt:lpstr>
      <vt:lpstr>'BDI - SERVIÇO'!Area_de_impressao</vt:lpstr>
      <vt:lpstr>CAPA!Area_de_impressao</vt:lpstr>
      <vt:lpstr>COMPOSIÇÃO!Area_de_impressao</vt:lpstr>
      <vt:lpstr>CRONOGRAMA!Area_de_impressao</vt:lpstr>
      <vt:lpstr>'CURVA ABC'!Area_de_impressao</vt:lpstr>
      <vt:lpstr>'MAPA DE COTAÇÃO'!Area_de_impressao</vt:lpstr>
      <vt:lpstr>ORÇAMENTO!Area_de_impressao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tatiana vieira</cp:lastModifiedBy>
  <cp:lastPrinted>2021-07-28T20:01:46Z</cp:lastPrinted>
  <dcterms:created xsi:type="dcterms:W3CDTF">2018-02-26T20:59:08Z</dcterms:created>
  <dcterms:modified xsi:type="dcterms:W3CDTF">2022-03-09T22:02:50Z</dcterms:modified>
</cp:coreProperties>
</file>