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quivos\3.20.50 - EQUIPE DE INFRAESTRUTURA\005 NÚCLEO AVANÇADO DE CAPACITAÇÃO\DIAMANTINO\006 - REFORMA\MURO EXETERNO DANIFICADO\"/>
    </mc:Choice>
  </mc:AlternateContent>
  <bookViews>
    <workbookView xWindow="0" yWindow="0" windowWidth="28800" windowHeight="11700" tabRatio="807" activeTab="6"/>
  </bookViews>
  <sheets>
    <sheet name="RESUMO" sheetId="22" r:id="rId1"/>
    <sheet name="P. Referência" sheetId="17" r:id="rId2"/>
    <sheet name="Composições" sheetId="18" r:id="rId3"/>
    <sheet name="Cronograma" sheetId="21" r:id="rId4"/>
    <sheet name="BDI" sheetId="20" r:id="rId5"/>
    <sheet name="Quantitativos" sheetId="19" r:id="rId6"/>
    <sheet name="Curva ABC" sheetId="23" r:id="rId7"/>
  </sheets>
  <externalReferences>
    <externalReference r:id="rId8"/>
    <externalReference r:id="rId9"/>
    <externalReference r:id="rId10"/>
  </externalReferences>
  <definedNames>
    <definedName name="_xlnm.Print_Area" localSheetId="4">BDI!$A$1:$G$32</definedName>
    <definedName name="_xlnm.Print_Area" localSheetId="6">'Curva ABC'!$B$2:$I$60</definedName>
    <definedName name="_xlnm.Print_Area" localSheetId="1">'P. Referência'!$B$2:$I$85</definedName>
    <definedName name="_xlnm.Print_Area" localSheetId="0">RESUMO!$B$2:$D$19</definedName>
    <definedName name="_xlnm.Print_Titles" localSheetId="6">'Curva ABC'!$2:$7</definedName>
    <definedName name="_xlnm.Print_Titles" localSheetId="1">'P. Referência'!$2:$7</definedName>
    <definedName name="_xlnm.Print_Titles" localSheetId="0">RESUMO!$2:$10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21" l="1"/>
  <c r="E20" i="21"/>
  <c r="E19" i="21"/>
  <c r="G19" i="21"/>
  <c r="H19" i="21"/>
  <c r="H20" i="21" s="1"/>
  <c r="C20" i="21"/>
  <c r="C19" i="21"/>
  <c r="B19" i="21"/>
  <c r="G18" i="22"/>
  <c r="C13" i="21"/>
  <c r="C14" i="21"/>
  <c r="C15" i="21"/>
  <c r="C16" i="21"/>
  <c r="C17" i="21"/>
  <c r="C18" i="21"/>
  <c r="C12" i="21"/>
  <c r="G27" i="23" l="1"/>
  <c r="H27" i="23" s="1"/>
  <c r="I27" i="23" s="1"/>
  <c r="H41" i="23"/>
  <c r="F41" i="23"/>
  <c r="H37" i="23"/>
  <c r="F37" i="23"/>
  <c r="G51" i="23"/>
  <c r="H51" i="23" s="1"/>
  <c r="I51" i="23" s="1"/>
  <c r="H29" i="23"/>
  <c r="I29" i="23" s="1"/>
  <c r="H59" i="23"/>
  <c r="I59" i="23" s="1"/>
  <c r="H46" i="23"/>
  <c r="I46" i="23" s="1"/>
  <c r="H47" i="23"/>
  <c r="I47" i="23" s="1"/>
  <c r="H50" i="23"/>
  <c r="I50" i="23" s="1"/>
  <c r="H16" i="23"/>
  <c r="I16" i="23" s="1"/>
  <c r="H58" i="23"/>
  <c r="I58" i="23" s="1"/>
  <c r="H57" i="23"/>
  <c r="I57" i="23" s="1"/>
  <c r="H49" i="23"/>
  <c r="I49" i="23" s="1"/>
  <c r="H42" i="23"/>
  <c r="I42" i="23" s="1"/>
  <c r="H54" i="23"/>
  <c r="I54" i="23" s="1"/>
  <c r="H22" i="23"/>
  <c r="I22" i="23" s="1"/>
  <c r="H38" i="23"/>
  <c r="F38" i="23"/>
  <c r="H40" i="23"/>
  <c r="F40" i="23"/>
  <c r="H53" i="23"/>
  <c r="I53" i="23" s="1"/>
  <c r="H48" i="23"/>
  <c r="I48" i="23" s="1"/>
  <c r="H45" i="23"/>
  <c r="I45" i="23" s="1"/>
  <c r="H56" i="23"/>
  <c r="I56" i="23" s="1"/>
  <c r="H55" i="23"/>
  <c r="I55" i="23" s="1"/>
  <c r="H44" i="23"/>
  <c r="I44" i="23" s="1"/>
  <c r="H17" i="23"/>
  <c r="I17" i="23" s="1"/>
  <c r="H25" i="23"/>
  <c r="I25" i="23" s="1"/>
  <c r="G10" i="23"/>
  <c r="H10" i="23" s="1"/>
  <c r="I10" i="23" s="1"/>
  <c r="E10" i="23"/>
  <c r="G11" i="23"/>
  <c r="H11" i="23" s="1"/>
  <c r="I11" i="23" s="1"/>
  <c r="H15" i="23"/>
  <c r="I15" i="23" s="1"/>
  <c r="G24" i="23"/>
  <c r="H24" i="23" s="1"/>
  <c r="I24" i="23" s="1"/>
  <c r="H12" i="23"/>
  <c r="I12" i="23" s="1"/>
  <c r="H21" i="23"/>
  <c r="I21" i="23" s="1"/>
  <c r="H14" i="23"/>
  <c r="I14" i="23" s="1"/>
  <c r="H43" i="23"/>
  <c r="I43" i="23" s="1"/>
  <c r="G30" i="23"/>
  <c r="H30" i="23" s="1"/>
  <c r="F30" i="23"/>
  <c r="G8" i="23"/>
  <c r="H8" i="23" s="1"/>
  <c r="I8" i="23" s="1"/>
  <c r="C8" i="23"/>
  <c r="H9" i="23"/>
  <c r="F9" i="23"/>
  <c r="H18" i="23"/>
  <c r="F18" i="23"/>
  <c r="H26" i="23"/>
  <c r="F26" i="23"/>
  <c r="H32" i="23"/>
  <c r="F32" i="23"/>
  <c r="H28" i="23"/>
  <c r="F28" i="23"/>
  <c r="H19" i="23"/>
  <c r="F19" i="23"/>
  <c r="H60" i="23"/>
  <c r="F60" i="23"/>
  <c r="H52" i="23"/>
  <c r="F52" i="23"/>
  <c r="H13" i="23"/>
  <c r="F13" i="23"/>
  <c r="H34" i="23"/>
  <c r="F34" i="23"/>
  <c r="G36" i="23"/>
  <c r="H36" i="23" s="1"/>
  <c r="I36" i="23" s="1"/>
  <c r="G35" i="23"/>
  <c r="H35" i="23" s="1"/>
  <c r="I35" i="23" s="1"/>
  <c r="H31" i="23"/>
  <c r="I31" i="23" s="1"/>
  <c r="G39" i="23"/>
  <c r="H39" i="23" s="1"/>
  <c r="I39" i="23" s="1"/>
  <c r="G33" i="23"/>
  <c r="H33" i="23" s="1"/>
  <c r="I33" i="23" s="1"/>
  <c r="H20" i="23"/>
  <c r="I20" i="23" s="1"/>
  <c r="H23" i="23"/>
  <c r="F23" i="23"/>
  <c r="I37" i="23" l="1"/>
  <c r="I40" i="23"/>
  <c r="I41" i="23"/>
  <c r="I52" i="23"/>
  <c r="I18" i="23"/>
  <c r="I13" i="23"/>
  <c r="I19" i="23"/>
  <c r="I26" i="23"/>
  <c r="I30" i="23"/>
  <c r="I34" i="23"/>
  <c r="I32" i="23"/>
  <c r="I9" i="23"/>
  <c r="I28" i="23"/>
  <c r="I23" i="23"/>
  <c r="I60" i="23"/>
  <c r="I38" i="23"/>
  <c r="H74" i="17"/>
  <c r="I74" i="17" s="1"/>
  <c r="H75" i="17" l="1"/>
  <c r="I75" i="17" s="1"/>
  <c r="H73" i="17"/>
  <c r="I73" i="17" s="1"/>
  <c r="H72" i="17"/>
  <c r="I72" i="17" s="1"/>
  <c r="H71" i="17"/>
  <c r="I71" i="17" s="1"/>
  <c r="H81" i="17" l="1"/>
  <c r="H80" i="17"/>
  <c r="H70" i="17"/>
  <c r="H69" i="17"/>
  <c r="H68" i="17"/>
  <c r="H67" i="17"/>
  <c r="H66" i="17"/>
  <c r="H65" i="17"/>
  <c r="H64" i="17"/>
  <c r="H60" i="17"/>
  <c r="H59" i="17"/>
  <c r="H58" i="17"/>
  <c r="H57" i="17"/>
  <c r="H56" i="17"/>
  <c r="H55" i="17"/>
  <c r="H54" i="17"/>
  <c r="H53" i="17"/>
  <c r="H49" i="17"/>
  <c r="H48" i="17"/>
  <c r="H45" i="17"/>
  <c r="H43" i="17"/>
  <c r="H42" i="17"/>
  <c r="H41" i="17"/>
  <c r="H40" i="17"/>
  <c r="H34" i="17"/>
  <c r="H33" i="17"/>
  <c r="H32" i="17"/>
  <c r="H31" i="17"/>
  <c r="H30" i="17"/>
  <c r="H29" i="17"/>
  <c r="H28" i="17"/>
  <c r="H27" i="17"/>
  <c r="H26" i="17"/>
  <c r="H25" i="17"/>
  <c r="H16" i="17"/>
  <c r="H10" i="17"/>
  <c r="H9" i="17"/>
  <c r="F56" i="18"/>
  <c r="F51" i="18"/>
  <c r="F49" i="18"/>
  <c r="F44" i="18"/>
  <c r="F39" i="18"/>
  <c r="F32" i="18"/>
  <c r="F29" i="18"/>
  <c r="F24" i="18"/>
  <c r="F21" i="18"/>
  <c r="F59" i="18"/>
  <c r="F58" i="18"/>
  <c r="F57" i="18"/>
  <c r="F55" i="18"/>
  <c r="F54" i="18"/>
  <c r="F53" i="18"/>
  <c r="F52" i="18"/>
  <c r="F50" i="18"/>
  <c r="F48" i="18"/>
  <c r="F47" i="18"/>
  <c r="F46" i="18"/>
  <c r="F45" i="18"/>
  <c r="F43" i="18"/>
  <c r="F42" i="18"/>
  <c r="F41" i="18"/>
  <c r="F40" i="18"/>
  <c r="F38" i="18"/>
  <c r="F37" i="18"/>
  <c r="F36" i="18"/>
  <c r="F34" i="18"/>
  <c r="F33" i="18"/>
  <c r="F31" i="18"/>
  <c r="F30" i="18"/>
  <c r="F28" i="18"/>
  <c r="F27" i="18"/>
  <c r="F26" i="18"/>
  <c r="F25" i="18"/>
  <c r="F23" i="18"/>
  <c r="F22" i="18"/>
  <c r="F20" i="18"/>
  <c r="F19" i="18"/>
  <c r="F18" i="18"/>
  <c r="F17" i="18" s="1"/>
  <c r="F16" i="18"/>
  <c r="F15" i="18"/>
  <c r="F14" i="18"/>
  <c r="F6" i="18"/>
  <c r="F12" i="18"/>
  <c r="F11" i="18"/>
  <c r="F10" i="18"/>
  <c r="F9" i="18"/>
  <c r="F8" i="18"/>
  <c r="F7" i="18"/>
  <c r="F5" i="18"/>
  <c r="F4" i="18"/>
  <c r="F3" i="18"/>
  <c r="F35" i="18" l="1"/>
  <c r="F13" i="18"/>
  <c r="I64" i="17" l="1"/>
  <c r="I70" i="17" l="1"/>
  <c r="I69" i="17"/>
  <c r="I68" i="17"/>
  <c r="I67" i="17"/>
  <c r="I66" i="17"/>
  <c r="I65" i="17"/>
  <c r="I76" i="17" l="1"/>
  <c r="D17" i="22" s="1"/>
  <c r="B16" i="21"/>
  <c r="G20" i="21" l="1"/>
  <c r="D20" i="21"/>
  <c r="B17" i="21"/>
  <c r="B15" i="21"/>
  <c r="B13" i="21"/>
  <c r="A13" i="21"/>
  <c r="B12" i="21"/>
  <c r="A12" i="21"/>
  <c r="I54" i="17"/>
  <c r="I55" i="17"/>
  <c r="I56" i="17"/>
  <c r="I57" i="17"/>
  <c r="I58" i="17"/>
  <c r="I53" i="17"/>
  <c r="I40" i="17"/>
  <c r="I41" i="17"/>
  <c r="I42" i="17"/>
  <c r="I43" i="17"/>
  <c r="I45" i="17"/>
  <c r="I48" i="17"/>
  <c r="I49" i="17"/>
  <c r="F81" i="17"/>
  <c r="D58" i="18"/>
  <c r="D59" i="18"/>
  <c r="F80" i="17"/>
  <c r="F60" i="17"/>
  <c r="F59" i="17"/>
  <c r="F39" i="17"/>
  <c r="D55" i="18"/>
  <c r="D54" i="18"/>
  <c r="D53" i="18"/>
  <c r="D52" i="18"/>
  <c r="C35" i="17"/>
  <c r="D50" i="18"/>
  <c r="F34" i="17"/>
  <c r="I34" i="17" l="1"/>
  <c r="I60" i="17"/>
  <c r="I59" i="17"/>
  <c r="I80" i="17"/>
  <c r="I81" i="17"/>
  <c r="F33" i="17"/>
  <c r="I33" i="17" s="1"/>
  <c r="F32" i="17"/>
  <c r="I32" i="17" s="1"/>
  <c r="F31" i="17"/>
  <c r="I31" i="17" s="1"/>
  <c r="F30" i="17"/>
  <c r="I30" i="17" s="1"/>
  <c r="F29" i="17"/>
  <c r="I29" i="17" s="1"/>
  <c r="F28" i="17"/>
  <c r="I28" i="17" s="1"/>
  <c r="F27" i="17"/>
  <c r="I27" i="17" s="1"/>
  <c r="F26" i="17"/>
  <c r="I26" i="17" s="1"/>
  <c r="F25" i="17"/>
  <c r="I25" i="17" s="1"/>
  <c r="F9" i="17"/>
  <c r="G35" i="17" l="1"/>
  <c r="G13" i="21"/>
  <c r="G14" i="21"/>
  <c r="G15" i="21"/>
  <c r="G16" i="21"/>
  <c r="G17" i="21"/>
  <c r="G18" i="21"/>
  <c r="B14" i="21"/>
  <c r="A14" i="21"/>
  <c r="G12" i="21"/>
  <c r="G8" i="21"/>
  <c r="K22" i="20"/>
  <c r="K21" i="20"/>
  <c r="K20" i="20"/>
  <c r="K19" i="20"/>
  <c r="K18" i="20" s="1"/>
  <c r="K24" i="20" s="1"/>
  <c r="G18" i="20"/>
  <c r="K17" i="20"/>
  <c r="G16" i="20"/>
  <c r="K15" i="20"/>
  <c r="K14" i="20"/>
  <c r="K13" i="20"/>
  <c r="K12" i="20"/>
  <c r="G25" i="20" s="1"/>
  <c r="G8" i="20" s="1"/>
  <c r="G11" i="20"/>
  <c r="F8" i="20"/>
  <c r="F6" i="20"/>
  <c r="H35" i="17" l="1"/>
  <c r="I35" i="17" s="1"/>
  <c r="I36" i="17" s="1"/>
  <c r="E48" i="18"/>
  <c r="E43" i="18"/>
  <c r="E36" i="18"/>
  <c r="D14" i="22" l="1"/>
  <c r="D27" i="18"/>
  <c r="E47" i="17"/>
  <c r="I61" i="17" l="1"/>
  <c r="D16" i="22" l="1"/>
  <c r="G44" i="17"/>
  <c r="G39" i="17"/>
  <c r="G47" i="17"/>
  <c r="G46" i="17"/>
  <c r="H46" i="17" l="1"/>
  <c r="I46" i="17" s="1"/>
  <c r="H47" i="17"/>
  <c r="I47" i="17" s="1"/>
  <c r="H39" i="17"/>
  <c r="I39" i="17" s="1"/>
  <c r="H44" i="17"/>
  <c r="I44" i="17" s="1"/>
  <c r="I50" i="17" l="1"/>
  <c r="D15" i="22" s="1"/>
  <c r="E17" i="21"/>
  <c r="H17" i="21" s="1"/>
  <c r="D9" i="19"/>
  <c r="D10" i="19"/>
  <c r="E16" i="21" l="1"/>
  <c r="H16" i="21" s="1"/>
  <c r="I10" i="17" l="1"/>
  <c r="I9" i="17"/>
  <c r="I11" i="17" l="1"/>
  <c r="D11" i="22" l="1"/>
  <c r="E12" i="21"/>
  <c r="I16" i="17"/>
  <c r="H12" i="21" l="1"/>
  <c r="G79" i="17"/>
  <c r="H79" i="17" s="1"/>
  <c r="I79" i="17" l="1"/>
  <c r="F2" i="18" l="1"/>
  <c r="G21" i="17"/>
  <c r="G20" i="17"/>
  <c r="G15" i="17"/>
  <c r="H21" i="17" l="1"/>
  <c r="I21" i="17" s="1"/>
  <c r="H15" i="17"/>
  <c r="I15" i="17" s="1"/>
  <c r="H20" i="17"/>
  <c r="I20" i="17" s="1"/>
  <c r="G14" i="17"/>
  <c r="H14" i="17" l="1"/>
  <c r="I14" i="17" s="1"/>
  <c r="I17" i="17" s="1"/>
  <c r="G82" i="17"/>
  <c r="H82" i="17" s="1"/>
  <c r="D12" i="22" l="1"/>
  <c r="E13" i="21"/>
  <c r="H13" i="21" s="1"/>
  <c r="I82" i="17"/>
  <c r="I83" i="17" s="1"/>
  <c r="D18" i="22" s="1"/>
  <c r="I22" i="17"/>
  <c r="E14" i="21" l="1"/>
  <c r="D13" i="22"/>
  <c r="D19" i="22" s="1"/>
  <c r="E18" i="21"/>
  <c r="H18" i="21" s="1"/>
  <c r="G26" i="20" l="1"/>
  <c r="J21" i="23"/>
  <c r="J58" i="23"/>
  <c r="K59" i="23" s="1"/>
  <c r="J48" i="23"/>
  <c r="J44" i="23"/>
  <c r="J55" i="23"/>
  <c r="K56" i="23" s="1"/>
  <c r="J57" i="23"/>
  <c r="J24" i="23"/>
  <c r="K25" i="23" s="1"/>
  <c r="J16" i="23"/>
  <c r="K17" i="23" s="1"/>
  <c r="J46" i="23"/>
  <c r="J51" i="23"/>
  <c r="J10" i="23"/>
  <c r="J12" i="23"/>
  <c r="J14" i="23"/>
  <c r="J50" i="23"/>
  <c r="K51" i="23" s="1"/>
  <c r="J25" i="23"/>
  <c r="J56" i="23"/>
  <c r="J27" i="23"/>
  <c r="K28" i="23" s="1"/>
  <c r="J22" i="23"/>
  <c r="K23" i="23" s="1"/>
  <c r="J42" i="23"/>
  <c r="K43" i="23" s="1"/>
  <c r="J49" i="23"/>
  <c r="K50" i="23" s="1"/>
  <c r="J59" i="23"/>
  <c r="J17" i="23"/>
  <c r="J31" i="23"/>
  <c r="K32" i="23" s="1"/>
  <c r="J47" i="23"/>
  <c r="K48" i="23" s="1"/>
  <c r="J39" i="23"/>
  <c r="K40" i="23" s="1"/>
  <c r="J53" i="23"/>
  <c r="J8" i="23"/>
  <c r="J20" i="23"/>
  <c r="K21" i="23" s="1"/>
  <c r="J33" i="23"/>
  <c r="J54" i="23"/>
  <c r="K55" i="23" s="1"/>
  <c r="J36" i="23"/>
  <c r="K37" i="23" s="1"/>
  <c r="J43" i="23"/>
  <c r="K44" i="23" s="1"/>
  <c r="J29" i="23"/>
  <c r="J45" i="23"/>
  <c r="K46" i="23" s="1"/>
  <c r="J15" i="23"/>
  <c r="K16" i="23" s="1"/>
  <c r="J11" i="23"/>
  <c r="K12" i="23" s="1"/>
  <c r="J35" i="23"/>
  <c r="K36" i="23" s="1"/>
  <c r="J13" i="23"/>
  <c r="K14" i="23" s="1"/>
  <c r="J28" i="23"/>
  <c r="K29" i="23" s="1"/>
  <c r="J23" i="23"/>
  <c r="K24" i="23" s="1"/>
  <c r="J40" i="23"/>
  <c r="J18" i="23"/>
  <c r="K19" i="23" s="1"/>
  <c r="J38" i="23"/>
  <c r="K39" i="23" s="1"/>
  <c r="J41" i="23"/>
  <c r="K42" i="23" s="1"/>
  <c r="J32" i="23"/>
  <c r="J37" i="23"/>
  <c r="J26" i="23"/>
  <c r="K27" i="23" s="1"/>
  <c r="J34" i="23"/>
  <c r="J9" i="23"/>
  <c r="K10" i="23" s="1"/>
  <c r="J60" i="23"/>
  <c r="J30" i="23"/>
  <c r="J19" i="23"/>
  <c r="K20" i="23" s="1"/>
  <c r="J52" i="23"/>
  <c r="K53" i="23" s="1"/>
  <c r="I85" i="17"/>
  <c r="H14" i="21"/>
  <c r="K35" i="23" l="1"/>
  <c r="K38" i="23"/>
  <c r="K18" i="23"/>
  <c r="K57" i="23"/>
  <c r="K52" i="23"/>
  <c r="K45" i="23"/>
  <c r="K41" i="23"/>
  <c r="K34" i="23"/>
  <c r="K11" i="23"/>
  <c r="K31" i="23"/>
  <c r="K33" i="23"/>
  <c r="K30" i="23"/>
  <c r="K9" i="23"/>
  <c r="K8" i="23"/>
  <c r="K60" i="23"/>
  <c r="K26" i="23"/>
  <c r="K47" i="23"/>
  <c r="K49" i="23"/>
  <c r="K54" i="23"/>
  <c r="K15" i="23"/>
  <c r="K22" i="23"/>
  <c r="K13" i="23"/>
  <c r="K58" i="23"/>
  <c r="E15" i="21"/>
  <c r="H15" i="21" l="1"/>
  <c r="E21" i="21" l="1"/>
  <c r="F20" i="21"/>
  <c r="F21" i="21" s="1"/>
</calcChain>
</file>

<file path=xl/comments1.xml><?xml version="1.0" encoding="utf-8"?>
<comments xmlns="http://schemas.openxmlformats.org/spreadsheetml/2006/main">
  <authors>
    <author>Caroline Castilho dos Santos</author>
  </authors>
  <commentList>
    <comment ref="F9" authorId="0" shapeId="0">
      <text>
        <r>
          <rPr>
            <sz val="9"/>
            <color indexed="81"/>
            <rFont val="Segoe UI"/>
            <family val="2"/>
          </rPr>
          <t xml:space="preserve">2h/dia, 2x/semana,
1 mês de obra
</t>
        </r>
      </text>
    </comment>
    <comment ref="F10" authorId="0" shapeId="0">
      <text>
        <r>
          <rPr>
            <b/>
            <sz val="9"/>
            <color indexed="81"/>
            <rFont val="Segoe UI"/>
            <family val="2"/>
          </rPr>
          <t>4h/dia, 5x/semana
1 mês de obra.</t>
        </r>
      </text>
    </comment>
  </commentList>
</comments>
</file>

<file path=xl/comments2.xml><?xml version="1.0" encoding="utf-8"?>
<comments xmlns="http://schemas.openxmlformats.org/spreadsheetml/2006/main">
  <authors>
    <author>Caroline Castilho dos Santos</author>
  </authors>
  <commentList>
    <comment ref="F20" authorId="0" shapeId="0">
      <text>
        <r>
          <rPr>
            <b/>
            <sz val="9"/>
            <color indexed="81"/>
            <rFont val="Segoe UI"/>
            <family val="2"/>
          </rPr>
          <t>4h/dia, 5x/semana
1 mês de obra.</t>
        </r>
      </text>
    </comment>
    <comment ref="F23" authorId="0" shapeId="0">
      <text>
        <r>
          <rPr>
            <sz val="9"/>
            <color indexed="81"/>
            <rFont val="Segoe UI"/>
            <family val="2"/>
          </rPr>
          <t xml:space="preserve">2h/dia, 2x/semana,
1 mês de obra
</t>
        </r>
      </text>
    </comment>
  </commentList>
</comments>
</file>

<file path=xl/sharedStrings.xml><?xml version="1.0" encoding="utf-8"?>
<sst xmlns="http://schemas.openxmlformats.org/spreadsheetml/2006/main" count="624" uniqueCount="255">
  <si>
    <t>M²</t>
  </si>
  <si>
    <t>SUBTOTAL</t>
  </si>
  <si>
    <t>Item</t>
  </si>
  <si>
    <t>Descrição</t>
  </si>
  <si>
    <t>Und.</t>
  </si>
  <si>
    <t>Valor Total</t>
  </si>
  <si>
    <t>M</t>
  </si>
  <si>
    <t>KG</t>
  </si>
  <si>
    <t>Código SINAPI</t>
  </si>
  <si>
    <t>CHP</t>
  </si>
  <si>
    <t>Composição 01</t>
  </si>
  <si>
    <t>Composição 02</t>
  </si>
  <si>
    <t>Und</t>
  </si>
  <si>
    <t>Composição 04</t>
  </si>
  <si>
    <t>Referência SINAPI Desonerada:</t>
  </si>
  <si>
    <t xml:space="preserve">Descrição                               </t>
  </si>
  <si>
    <t>Unidade</t>
  </si>
  <si>
    <t>Coeficiente</t>
  </si>
  <si>
    <t>Preço Unitario</t>
  </si>
  <si>
    <t>Preço total</t>
  </si>
  <si>
    <t>H</t>
  </si>
  <si>
    <t>UND</t>
  </si>
  <si>
    <t>310ML</t>
  </si>
  <si>
    <t>SERVENTE COM ENCARGOS COMPLEMENTARES</t>
  </si>
  <si>
    <t>TELHADISTA COM ENCARGOS COMPLEMENTARES</t>
  </si>
  <si>
    <t>CHI</t>
  </si>
  <si>
    <t>M2</t>
  </si>
  <si>
    <t>ADMINISTRAÇÃO DA OBRA</t>
  </si>
  <si>
    <t>Quant.</t>
  </si>
  <si>
    <t>ENCARREGADO GERAL COM ENCARGOS COMPLEMENTARES</t>
  </si>
  <si>
    <t>Valor Unit.</t>
  </si>
  <si>
    <t>3.2</t>
  </si>
  <si>
    <t>1.2</t>
  </si>
  <si>
    <t>2.1</t>
  </si>
  <si>
    <t>3.1</t>
  </si>
  <si>
    <t>4.1</t>
  </si>
  <si>
    <t>6.1</t>
  </si>
  <si>
    <t>6.2</t>
  </si>
  <si>
    <t>6.4</t>
  </si>
  <si>
    <t>Composição 08</t>
  </si>
  <si>
    <t>MOBILIZAÇÃO E DESMOBILIZAÇÃO DE OBRA</t>
  </si>
  <si>
    <t>MOBILIZAÇÃO DE OBRA</t>
  </si>
  <si>
    <t>CAMINHÃO TOCO, PBT 14.300 KG, CARGA ÚTIL MÁX. 9.710 KG, DIST. ENTRE EIXOS 3,56 M, POTÊNCIA 185 CV, INCLUSIVE CARROCERIA FIXA ABERTA DE MADEIRA P/ TRANSPORTE GERAL DE CARGA SECA, DIMEN. APROX. 2,50 X 6,50 X 0,50 M - CHP DIURNO. AF_06/2014</t>
  </si>
  <si>
    <t>CAMINHÃO TOCO, PESO BRUTO TOTAL 14.300 KG, CARGA ÚTIL MÁXIMA 9590 KG, DISTÂNCIA ENTRE EIXOS 4,76 M, POTÊNCIA 185 CV (NÃO INCLUI CARROCERIA) - CHI DIURNO. AF_06/2014</t>
  </si>
  <si>
    <t>DESMOBILIZAÇÃO DE OBRA</t>
  </si>
  <si>
    <t>2.2</t>
  </si>
  <si>
    <t>Cotação 01</t>
  </si>
  <si>
    <t>LOCAÇÃO DE CAÇAMBA TIPO BOTA-FORA</t>
  </si>
  <si>
    <t>EMISSÃO DE CUSTEIO DE ALVARA E REGISTROS</t>
  </si>
  <si>
    <t>PLACA DE OBRA (PARA CONSTRUÇÃO CIVIL) EM CHAPA GALVANIZADA, ADESIVADA FIXA EM ESTRUTURA DE MADEIRA.</t>
  </si>
  <si>
    <t>EMISSÃO E CUSTEIO DE ALVARÁ E REGISTROS</t>
  </si>
  <si>
    <t>ALVARÁ DE OBRA</t>
  </si>
  <si>
    <t>Cotação - CREA MT</t>
  </si>
  <si>
    <t>AUXILIAR DE ESCRITORIO COM ENCARGOS COMPLEMENTARES</t>
  </si>
  <si>
    <t>SARRAFO DE MADEIRA NAO APARELHADA *2,5 X 7* CM, MACARANDUBA, ANGELIM OU EQUIVALENTE DA REGIAO</t>
  </si>
  <si>
    <t>PONTALETE DE MADEIRA NAO APARELHADA *7,5 X 7,5* CM (3 X 3 ") PINUS, MISTA OU EQUIVALENTE DA REGIAO</t>
  </si>
  <si>
    <t>PLACA DE OBRA (PARA CONSTRUCAO CIVIL) EM CHAPA GALVANIZADA *N. 22*, ADESIVADA, DE *2,0 X 1,125* M</t>
  </si>
  <si>
    <t>PREGO DE ACO POLIDO COM CABECA 18 X 30 (2 3/4 X 10)</t>
  </si>
  <si>
    <t>CARPINTEIRO DE FORMAS COM ENCARGOS COMPLEMENTARES</t>
  </si>
  <si>
    <t>Composição 12</t>
  </si>
  <si>
    <t>SERVIÇOS PRELIMINARES</t>
  </si>
  <si>
    <t>Composição 03</t>
  </si>
  <si>
    <t>4.2</t>
  </si>
  <si>
    <t>PEDREIRO COM ENCARGOS COMPLEMENTARES</t>
  </si>
  <si>
    <t>LIMPEZA FINAL</t>
  </si>
  <si>
    <t>LIMPEZA DE PISO CERÂMICO OU PORCELANATO COM PANO ÚMIDO. AF_04/2019</t>
  </si>
  <si>
    <t>LIMPEZA DE REVESTIMENTO CERÂMICO EM PAREDE COM PANO ÚMIDO AF_04/2019</t>
  </si>
  <si>
    <t>LIMPEZA DE SUPERFÍCIE COM JATO DE ALTA PRESSÃO. AF_04/2019</t>
  </si>
  <si>
    <t>LIMPEZA DE PORTA DE MADEIRA. AF_04/2019</t>
  </si>
  <si>
    <t>SERVIÇOS COMPLEMENTARES</t>
  </si>
  <si>
    <t>88316</t>
  </si>
  <si>
    <t>2.3</t>
  </si>
  <si>
    <t>4.4</t>
  </si>
  <si>
    <t>4.5</t>
  </si>
  <si>
    <t>4.6</t>
  </si>
  <si>
    <t>6.3</t>
  </si>
  <si>
    <t>TOTAL</t>
  </si>
  <si>
    <t>FORRO</t>
  </si>
  <si>
    <t>Cotação - Tabela 2021 Prefeitura de Cuiabá item 136</t>
  </si>
  <si>
    <t>ART/CREA DE EXECUÇÃO - AREA ATÉ 15.000 R$</t>
  </si>
  <si>
    <t>Área</t>
  </si>
  <si>
    <t>1.1</t>
  </si>
  <si>
    <t>MANUTENÇÃO NO MICTÓRIO DO BANHEIRO MASCULINO</t>
  </si>
  <si>
    <t>AUXILIAR DE ENCANADOR OU BOMBEIRO HIDRÁULICO COM ENCARGOS COMPLEMENTARES</t>
  </si>
  <si>
    <t>ENCANADOR OU BOMBEIRO HIDRÁULICO COM ENCARGOS COMPLEMENTARES</t>
  </si>
  <si>
    <t>REFORMA NAC</t>
  </si>
  <si>
    <t>COBERTURA</t>
  </si>
  <si>
    <t>TELHAS</t>
  </si>
  <si>
    <t>TRAMA</t>
  </si>
  <si>
    <t>Valor Unitário C/ BDI 28,35%</t>
  </si>
  <si>
    <t>5.1</t>
  </si>
  <si>
    <t>5.2</t>
  </si>
  <si>
    <t>5.3</t>
  </si>
  <si>
    <t>4.7</t>
  </si>
  <si>
    <t>4.8</t>
  </si>
  <si>
    <t>4.3</t>
  </si>
  <si>
    <t>SELANTE ELASTICO MONOCOMPONENTE A BASE DE POLIURETANO (PU) PARA JUNTAS DIVERSAS</t>
  </si>
  <si>
    <t>REBITE DE ALUMINIO VAZADO DE REPUXO, 3,2 X 8 MM (1KG = 1025 UNIDADES)</t>
  </si>
  <si>
    <t xml:space="preserve">RUFO </t>
  </si>
  <si>
    <t>PINGADEIRA</t>
  </si>
  <si>
    <t>CALHA</t>
  </si>
  <si>
    <t>SERVIÇO DE EMBOÇO/MASSA ÚNICA, APLICADO MANUALMENTE, TRAÇO 1:2:8, EM BETONEIRA DE 400L, PAREDES INTERNAS, COM EXECUÇÃO DE TALISCAS, EDIFICAÇÃO HABITACIONAL UNIFAMILIAR (CASAS) E EDIFICAÇÃO PÚBLICA PADRÃO.</t>
  </si>
  <si>
    <t>Composição 14</t>
  </si>
  <si>
    <t>REMOÇÃO DE EMBOÇO/MASSA ÚNICA</t>
  </si>
  <si>
    <t xml:space="preserve">ENGENHEIRO CIVIL DE OBRA JUNIOR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</si>
  <si>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REMOÇÃO DE PINTURA INTERNA E EXTERNA</t>
  </si>
  <si>
    <t>APLICAÇÃO DE FUNDO SELADOR ACRÍLICO EM PAREDES, UMA DEMÃO. AF_06/2014.</t>
  </si>
  <si>
    <t>APLICAÇÃO E LIXAMENTO DE MASSA LÁTEX EM TETO, DUAS DEMÃOS. AF_06/2014.</t>
  </si>
  <si>
    <t>APLICAÇÃO E LIXAMENTO DE MASSA LÁTEX EM PAREDES, DUAS DEMÃOS. AF_06/2014.</t>
  </si>
  <si>
    <t>6.5</t>
  </si>
  <si>
    <t>TEXTURA ACRÍLICA, APLICAÇÃO MANUAL EM PAREDE, UMA DEMÃO. AF_09/2016</t>
  </si>
  <si>
    <t>6.6</t>
  </si>
  <si>
    <t>APLICAÇÃO MANUAL DE TINTA LÁTEX ACRÍLICA, 1° LINHA, ANTIMOFO E LAVAVEL, COM DUAS DEMÃOS NA COR OVELHA.</t>
  </si>
  <si>
    <t>6.7</t>
  </si>
  <si>
    <t>6.8</t>
  </si>
  <si>
    <t>REMOÇÃO DE PINTURA</t>
  </si>
  <si>
    <t>PINTOR COM ENCARGOS COMPLEMENTARES</t>
  </si>
  <si>
    <t>Composição 15</t>
  </si>
  <si>
    <t>Orçamento</t>
  </si>
  <si>
    <t>TINTA ACRILICA PREMIUM,PRIMEIRA LINHA NA COR OVELHA 18L</t>
  </si>
  <si>
    <t>L</t>
  </si>
  <si>
    <t>Composição 16</t>
  </si>
  <si>
    <t>Composição 17</t>
  </si>
  <si>
    <t>PINTURA</t>
  </si>
  <si>
    <t>APLICAÇÃO MANUAL DE PINTURA COM TINTA ACRÍLICA, 1° LINHA, ANTIMOFO EM PAREDES EXTERNAS DE CASAS, NA COR VERDE FOLHA.</t>
  </si>
  <si>
    <t>MASSA PARA TEXTURA RUSTICA DE BASE ACRILICA, COR BRANCA, USO INTERNO E EXTERNO</t>
  </si>
  <si>
    <t>TINTA ACRILICA PREMIUM,PRIMEIRA LINHA NA COR VERDE FOLHA 18L</t>
  </si>
  <si>
    <t>APLICAÇÃO MANUAL DE PINTURA COM TINTA ACRÍLICA, 1° LINHA, ANTIMOFO EM PAREDES EXTERNAS DE CASAS, NA CAIXA DE PANDORA.</t>
  </si>
  <si>
    <t xml:space="preserve">KG    </t>
  </si>
  <si>
    <t>APLICAÇÃO MANUAL DE TINTA LÁTEX ACRÍLICA, 1° LINHA, ANTIMOFO E LAVAVEL, COM DUAS DEMÃOS NA COR OVELHA</t>
  </si>
  <si>
    <t>Composição 18</t>
  </si>
  <si>
    <t>7.1</t>
  </si>
  <si>
    <t>7.2</t>
  </si>
  <si>
    <t>7.3</t>
  </si>
  <si>
    <t>7.4</t>
  </si>
  <si>
    <t>INSTALAÇÕES ELÉTRICAS</t>
  </si>
  <si>
    <t>CABO DE COBRE FLEXÍVEL ISOLADO, 2,5 MM², ANTI-CHAMA 450/750 V, PARA CIRCUITOS TERMINAIS - FORNECIMENTO E INSTALAÇÃO. AF_12/2015</t>
  </si>
  <si>
    <t>TOMADA MÉDIA DE EMBUTIR (1 MÓDULO), 2P+T 10 A, INCLUINDO SUPORTE E PLACA - FORNECIMENTO E INSTALAÇÃO. AF_12/2015</t>
  </si>
  <si>
    <t>TOMADA BAIXA DE EMBUTIR (1 MÓDULO), 2P+T 10 A, INCLUINDO SUPORTE E PLACA - FORNECIMENTO E INSTALAÇÃO. AF_12/2015</t>
  </si>
  <si>
    <t xml:space="preserve">LUMINARIA ARANDELA TIPO MEIA-LUA COM VIDRO FOSCO *30 X 15* CM, PARA 1 LAMPADA, BASE E27, POTENCIA MAXIMA 40/60 W (NAO INCLUI LAMPADA)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</si>
  <si>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LED REFLETOR RETANGULAR BIVOLT, LUZ BRANCA, 50 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</si>
  <si>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LUMINARIA LED PLAFON REDONDO DE SOBREPOR BIVOLT 12/13 W,  D = *17*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</si>
  <si>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AUXILIAR DE ELETRICISTA COM ENCARGOS COMPLEMENTARES</t>
  </si>
  <si>
    <t>ELETRICISTA COM ENCARGOS COMPLEMENTARES</t>
  </si>
  <si>
    <t>BDI</t>
  </si>
  <si>
    <t>OBRA:</t>
  </si>
  <si>
    <t>ENDEREÇO:</t>
  </si>
  <si>
    <t>MUNICÍPIO:</t>
  </si>
  <si>
    <t>ASSUNTO:</t>
  </si>
  <si>
    <t>ITEM</t>
  </si>
  <si>
    <t>DISCRIMINAÇÃO</t>
  </si>
  <si>
    <t>PERCENTUAL
(%)</t>
  </si>
  <si>
    <t>1.0</t>
  </si>
  <si>
    <t>MAX</t>
  </si>
  <si>
    <t>MIN</t>
  </si>
  <si>
    <t>Administração Central</t>
  </si>
  <si>
    <t>Despesas Financeiras</t>
  </si>
  <si>
    <t>1.3</t>
  </si>
  <si>
    <t>Riscos</t>
  </si>
  <si>
    <t>1.4</t>
  </si>
  <si>
    <t>Seguros e Garantias</t>
  </si>
  <si>
    <t>2.0</t>
  </si>
  <si>
    <t>LUCRO</t>
  </si>
  <si>
    <t>Lucro Operacional</t>
  </si>
  <si>
    <t>3.0</t>
  </si>
  <si>
    <t>TRIBUTOS</t>
  </si>
  <si>
    <t>**ISS</t>
  </si>
  <si>
    <t>Cofins</t>
  </si>
  <si>
    <t>3.3</t>
  </si>
  <si>
    <t>Pis</t>
  </si>
  <si>
    <t>3.4</t>
  </si>
  <si>
    <t>Contribuição Previdênciária - Lei N° 13161/2015</t>
  </si>
  <si>
    <t>**ISS - Repassado pelo município</t>
  </si>
  <si>
    <t xml:space="preserve">Fórmula e parâmetros estabelecidos pelo Acórdão 2622/2013-TCU-Plenário (contemplando) </t>
  </si>
  <si>
    <t xml:space="preserve">TAXA DE BDI A SER APLICADA 
SOBRE O CUSTO DIRETO </t>
  </si>
  <si>
    <t>VALOR DA OBRA</t>
  </si>
  <si>
    <t>Não incidem IRPJ e CSLL na composição de Tributos.</t>
  </si>
  <si>
    <t>CÁLCULO DO BDI</t>
  </si>
  <si>
    <t>ETAPA</t>
  </si>
  <si>
    <t>VL. TOTAL</t>
  </si>
  <si>
    <t>%</t>
  </si>
  <si>
    <t>30 DIAS</t>
  </si>
  <si>
    <t>VALOR TOTAL</t>
  </si>
  <si>
    <t>VALOR ACUMULADO</t>
  </si>
  <si>
    <t>REF.:</t>
  </si>
  <si>
    <t>REPARO E ADEQUAÇÃO DE MURO EXTERNO</t>
  </si>
  <si>
    <t>M³</t>
  </si>
  <si>
    <t>DEMOLIÇÃO DE ALVENARIA DE BLOCO FURADO, DE FORMA MANUAL, SEM REAPROVEI TAMENTO. AF_12/2017</t>
  </si>
  <si>
    <t>4.9</t>
  </si>
  <si>
    <t>4.10</t>
  </si>
  <si>
    <t>ESCAVAÇÃO MANUAL DE VALA COM PROFUNDIDADE MENOR OU IGUAL A 1,30
02/2021</t>
  </si>
  <si>
    <t>REATERRO MANUAL APILOADO COM SOQUETE. AF_10/2017</t>
  </si>
  <si>
    <t>MONTAGEM E DESMONTAGEM DE FÔRMA DE PILARES RETANGULARES E ESTRUTURAS, PÉ-DIREITO SIMPLES, EM CHAPA DE MADEIRA COMPENSADA RESINADA, 4 UTILIZAÇÕES. AF_09/2020</t>
  </si>
  <si>
    <t>Kg</t>
  </si>
  <si>
    <t>ARMAÇÃO DE PILAR OU VIGA DE UMA ESTRUTURA CONVENCIONAL DE CONCRETO ARMADO EM UMA EDIFICAÇÃO TÉRREA OU SOBRADO UTILIZANDO AÇO CA-50 DE 8,0 M
M - MONTAGEM. AF_12/2015</t>
  </si>
  <si>
    <t>ARMAÇÃO DE PILAR OU VIGA DE UMA ESTRUTURA CONVENCIONAL DE CONCRETO ARMADO EM UMA EDIFICAÇÃO TÉRREA OU SOBRADO UTILIZANDO AÇO CA-60 DE 5,0 MM - MONTAGEM. AF_12/2015</t>
  </si>
  <si>
    <t>CHAPISCO APLICADO EM ALVENARIA (COM PRESENÇA DE VÃOS) E ESTRUTURAS DE CONCRETO DE FACHADA, COM COLHER DE PEDREIRO. ARGAMASSA TRAÇO 1:3 COM
PREPARO EM BETONEIRA 400L. AF_06/2014</t>
  </si>
  <si>
    <t>4.11</t>
  </si>
  <si>
    <t>Composição 19</t>
  </si>
  <si>
    <t>CONTRAFORTE DE 2,00x1,00m, EXECUTADOS EM BLOCO VAZADOS DE CONCRETO DE 9X19X39CM, INCLUSO PILARETE (15X15CM), BASE EM BALTRAME, COM ACABAMENTO (CHAPISCO E EMBOÇO)</t>
  </si>
  <si>
    <t>REAPLICAÇÃO DE SELANTE ELASTICO NO ENCONTRO DA CALHA COM A ALVENARIA</t>
  </si>
  <si>
    <t>Composição 20</t>
  </si>
  <si>
    <t>m2</t>
  </si>
  <si>
    <t>PINTURA ACRILICA EM PISO CIMENTADO DUAS DEMAOS</t>
  </si>
  <si>
    <t>PINTURA COM TINTA ALQUÍDICA DE ACABAMENTO (ESMALTE SINTÉTICO BRILHANTE) PULVERIZADA SOBRE SUPERFÍCIES METÁLICAS (EXCETO PERFIL) EXECUTADO EM
OBRA (POR DEMÃO). AF_01/2020_P</t>
  </si>
  <si>
    <t>APLICAÇÃO DE IMPERMEABILIZANTE INCOLOR, BASE DE SILICONE NO ACABAMENTO DAS JANELAS E PORTAS DE VIDROS EXTERNAS</t>
  </si>
  <si>
    <t>Composição 21</t>
  </si>
  <si>
    <t>5.4</t>
  </si>
  <si>
    <t>5.5</t>
  </si>
  <si>
    <t>5.6</t>
  </si>
  <si>
    <t>5.7</t>
  </si>
  <si>
    <t>5.8</t>
  </si>
  <si>
    <t>5.9</t>
  </si>
  <si>
    <t>5.10</t>
  </si>
  <si>
    <t>5.11</t>
  </si>
  <si>
    <t>Rua Almirante Batista das Neves, n°419, bairro Centro, Diamantino-MT</t>
  </si>
  <si>
    <t>DIAMANTINO - MT</t>
  </si>
  <si>
    <t>VALO TOTAL</t>
  </si>
  <si>
    <t>RESUMO</t>
  </si>
  <si>
    <t>NUCLE AVANÇADO DE CAPACITAÇÃO DIAMANTINO</t>
  </si>
  <si>
    <t>Núcleo Avançado de Capacitação - DIAMANTINO</t>
  </si>
  <si>
    <t>Planilha de Referência Orçamentária
Núcleo Avançado de Capacitação - DIAMANTINO</t>
  </si>
  <si>
    <t>CRONOGRAMA FÍSICO FINANCEIRO - DIAMANTINO</t>
  </si>
  <si>
    <t>Reparos de Engenharia</t>
  </si>
  <si>
    <t>7.5</t>
  </si>
  <si>
    <t>7.6</t>
  </si>
  <si>
    <t>7.7</t>
  </si>
  <si>
    <t>7.8</t>
  </si>
  <si>
    <t>CONCRETAGEM DE PILARES, FCK = 25 MPA, COM USO DE BALDES - LANÇAMENTO, ADENSAMENTO E ACABAMENTO. AF_02/2022</t>
  </si>
  <si>
    <t>CAIXA D´ÁGUA EM POLIÉSTER REFORÇADO COM FIBRA DE VIDRO, 5000 LITROS, FORNECIMENTO E INSTALAÇÃO. AF_06/2021</t>
  </si>
  <si>
    <t>RESERVATÓRIO DE AGUAS</t>
  </si>
  <si>
    <t>EXECUÇÃO DE PISO DE CONCRETO, COM ACABAMENTO SUPERFICIAL, ESPESSURA DE 15 CM, FCK = 30 MPA, COM USO DE FORMAS EM MADEIRA SERRADA. AF_09/2021</t>
  </si>
  <si>
    <t>8.1</t>
  </si>
  <si>
    <t>8.2</t>
  </si>
  <si>
    <t>8.3</t>
  </si>
  <si>
    <t>8.4</t>
  </si>
  <si>
    <t>02/2022</t>
  </si>
  <si>
    <t>SINAP-MT JAN. FEV/2022</t>
  </si>
  <si>
    <t>.</t>
  </si>
  <si>
    <t>7.9</t>
  </si>
  <si>
    <t>7.10</t>
  </si>
  <si>
    <t>7.11</t>
  </si>
  <si>
    <t>7.12</t>
  </si>
  <si>
    <t>CURVA 90 GRAUS, PVC, SOLDÁVEL, DN 25MM, INSTALADO EM PRUMADA DE ÁGUA -FORNECIMENTO E INSTALAÇÃO. AF_12/2014</t>
  </si>
  <si>
    <t xml:space="preserve">TUBO, PVC, SOLDÁVEL, DN 25MM, INSTALADO EM RAMAL OU SUB-RAMAL DE ÁGUA - FORNECIMENTO E INSTALAÇÃO. AF_12/2014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</si>
  <si>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ADAPTADOR COM FLANGE E ANEL DE VEDAÇÃO, PVC, SOLDÁVEL, DN 25 MM X 3/4, INSTALADO EM RESERVAÇÃO DE ÁGUA DE EDIFICAÇÃO QUE POSSUA RESERVATÓR IO DE FIBRA/FIBROCIMENTO FORNECIMENTO E INSTALAÇÃO. AF_06/2016</t>
  </si>
  <si>
    <t>ADAPTADOR CURTO COM BOLSA E ROSCA PARA REGISTRO, PVC, SOLDÁVEL, MM X 3/4 , INSTALADO EM RESERVAÇÃO DE ÁGUA DE EDIFICAÇÃO QUE POSSUA RESERVATÓRIO DE FIBRA/FIBROCIMENTO FORNECIMENTO E INSTALAÇÃO. AF_06/2</t>
  </si>
  <si>
    <t>LUVA PVC, SOLDÁVEL, DN 25 MM, INSTALADA EM RESERVAÇÃO DE ÁGUA DE EDIFICAÇÃO QUE POSSUA RESERVATÓRIO DE FIBRA/FIBROCIMENTO FORNECIMENTO E INSTALAÇÃO. AF_06/2016</t>
  </si>
  <si>
    <t>REGISTRO DE GAVETA BRUTO, LATÃO, ROSCÁVEL, 1" - FORNECIMENTO E INSTALAÇÃO. AF_08/2021</t>
  </si>
  <si>
    <t>BOMBA CENTRÍFUGA, MONOFÁSICA, 0,5 CV OU 0,49 HP, HM 6 A 20 M, Q 1,2 A 8,3 M3/H - FORNECIMENTO E INSTALAÇÃO. AF_12/2020</t>
  </si>
  <si>
    <t>DISJUNTOR MONOPOLAR TIPO DIN, CORRENTE NOMINAL DE 20A - FORNECIMENTO E INSTALAÇÃO. AF_10/2020</t>
  </si>
  <si>
    <t>PONTO DE TOMADA RESIDENCIAL INCLUINDO TOMADA 10A/250V, CAIXA ELÉTRICA ELETRODUTO, CABO, RASGO, QUEBRA E CHUMBAMENTO. AF_01/2016</t>
  </si>
  <si>
    <t>ALVENARIA ESTRUTURAL DE BLOCOS CERÂMICOS 14X19X29, (ESPESSURA DE 14 CM), PARA PAREDES COM ÁREA LÍQUIDA MAIOR OU IGUAL A 6M², SEM VÃOS, UTILIZANDO COLHER DE PEDREIRO E ARGAMASSA DE ASSENTAMENTO COM PREPARO MANUA
L. AF_12/2014</t>
  </si>
  <si>
    <t>PESO (%)</t>
  </si>
  <si>
    <t>Peso Acumulado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</si>
</sst>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-[$R$-416]\ * #,##0.000000000_-;\-[$R$-416]\ * #,##0.000000000_-;_-[$R$-416]\ * &quot;-&quot;??_-;_-@_-"/>
    <numFmt numFmtId="166" formatCode="_(&quot;R$ &quot;* #,##0.00_);_(&quot;R$ &quot;* \(#,##0.00\);_(&quot;R$ &quot;* &quot;-&quot;??_);_(@_)"/>
    <numFmt numFmtId="167" formatCode="[$-416]mmmm\-yy;@"/>
    <numFmt numFmtId="168" formatCode="_-&quot;R$&quot;* #,##0.00_-;\-&quot;R$&quot;* #,##0.00_-;_-&quot;R$&quot;* &quot;-&quot;??_-;_-@_-"/>
    <numFmt numFmtId="169" formatCode="0.0%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</font>
    <font>
      <b/>
      <sz val="9"/>
      <color indexed="81"/>
      <name val="Segoe UI"/>
      <family val="2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1"/>
      <name val="Calibri"/>
      <family val="2"/>
      <scheme val="minor"/>
    </font>
    <font>
      <sz val="12"/>
      <color rgb="FFFF0000"/>
      <name val="Calibri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92D050"/>
      <name val="Arial"/>
      <family val="2"/>
    </font>
    <font>
      <sz val="20"/>
      <name val="Arial"/>
      <family val="2"/>
    </font>
    <font>
      <b/>
      <sz val="12"/>
      <color indexed="8"/>
      <name val="Arial"/>
      <family val="2"/>
    </font>
    <font>
      <b/>
      <sz val="20"/>
      <name val="Arial"/>
      <family val="2"/>
    </font>
    <font>
      <b/>
      <sz val="12"/>
      <color indexed="8"/>
      <name val="Calibri"/>
      <family val="2"/>
    </font>
    <font>
      <sz val="15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9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26">
    <xf numFmtId="0" fontId="0" fillId="0" borderId="0" xfId="0"/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4" fontId="4" fillId="0" borderId="1" xfId="4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/>
    </xf>
    <xf numFmtId="44" fontId="7" fillId="0" borderId="1" xfId="13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4" fontId="5" fillId="2" borderId="1" xfId="4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4" fontId="4" fillId="2" borderId="1" xfId="4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4" fontId="4" fillId="0" borderId="1" xfId="4" applyFont="1" applyBorder="1" applyAlignment="1">
      <alignment vertical="center"/>
    </xf>
    <xf numFmtId="44" fontId="4" fillId="0" borderId="1" xfId="4" applyFont="1" applyBorder="1"/>
    <xf numFmtId="44" fontId="7" fillId="2" borderId="1" xfId="4" applyFont="1" applyFill="1" applyBorder="1" applyAlignment="1">
      <alignment horizontal="center" vertical="center"/>
    </xf>
    <xf numFmtId="0" fontId="15" fillId="2" borderId="0" xfId="0" applyFont="1" applyFill="1"/>
    <xf numFmtId="0" fontId="15" fillId="0" borderId="0" xfId="0" applyFont="1"/>
    <xf numFmtId="0" fontId="15" fillId="0" borderId="0" xfId="0" applyFont="1" applyAlignment="1">
      <alignment horizontal="left" wrapText="1"/>
    </xf>
    <xf numFmtId="164" fontId="15" fillId="0" borderId="0" xfId="0" applyNumberFormat="1" applyFont="1" applyAlignment="1">
      <alignment horizontal="center" vertical="center"/>
    </xf>
    <xf numFmtId="164" fontId="15" fillId="0" borderId="0" xfId="0" applyNumberFormat="1" applyFont="1"/>
    <xf numFmtId="9" fontId="15" fillId="2" borderId="8" xfId="0" applyNumberFormat="1" applyFont="1" applyFill="1" applyBorder="1" applyAlignment="1"/>
    <xf numFmtId="0" fontId="15" fillId="2" borderId="8" xfId="0" applyFont="1" applyFill="1" applyBorder="1" applyAlignment="1"/>
    <xf numFmtId="0" fontId="16" fillId="2" borderId="18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/>
    </xf>
    <xf numFmtId="164" fontId="16" fillId="2" borderId="20" xfId="0" applyNumberFormat="1" applyFont="1" applyFill="1" applyBorder="1" applyAlignment="1">
      <alignment horizontal="center" vertical="center"/>
    </xf>
    <xf numFmtId="164" fontId="16" fillId="2" borderId="20" xfId="0" applyNumberFormat="1" applyFont="1" applyFill="1" applyBorder="1" applyAlignment="1">
      <alignment horizontal="center" vertical="center" wrapText="1"/>
    </xf>
    <xf numFmtId="164" fontId="16" fillId="2" borderId="18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left" wrapText="1"/>
    </xf>
    <xf numFmtId="0" fontId="17" fillId="3" borderId="3" xfId="0" applyFont="1" applyFill="1" applyBorder="1" applyAlignment="1"/>
    <xf numFmtId="164" fontId="17" fillId="3" borderId="3" xfId="0" applyNumberFormat="1" applyFont="1" applyFill="1" applyBorder="1" applyAlignment="1">
      <alignment horizontal="center" vertical="center"/>
    </xf>
    <xf numFmtId="164" fontId="17" fillId="3" borderId="3" xfId="0" applyNumberFormat="1" applyFont="1" applyFill="1" applyBorder="1" applyAlignment="1"/>
    <xf numFmtId="164" fontId="17" fillId="3" borderId="4" xfId="0" applyNumberFormat="1" applyFont="1" applyFill="1" applyBorder="1" applyAlignment="1"/>
    <xf numFmtId="0" fontId="18" fillId="2" borderId="1" xfId="0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right" vertical="center"/>
    </xf>
    <xf numFmtId="0" fontId="18" fillId="3" borderId="1" xfId="0" applyFont="1" applyFill="1" applyBorder="1" applyAlignment="1">
      <alignment horizontal="center" vertical="center"/>
    </xf>
    <xf numFmtId="4" fontId="18" fillId="3" borderId="3" xfId="0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164" fontId="17" fillId="3" borderId="4" xfId="0" applyNumberFormat="1" applyFont="1" applyFill="1" applyBorder="1" applyAlignment="1">
      <alignment vertical="center"/>
    </xf>
    <xf numFmtId="0" fontId="15" fillId="3" borderId="0" xfId="0" applyFont="1" applyFill="1"/>
    <xf numFmtId="0" fontId="17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wrapText="1"/>
    </xf>
    <xf numFmtId="0" fontId="18" fillId="4" borderId="1" xfId="0" applyFont="1" applyFill="1" applyBorder="1" applyAlignment="1">
      <alignment horizontal="center" vertical="center" wrapText="1"/>
    </xf>
    <xf numFmtId="44" fontId="18" fillId="4" borderId="1" xfId="4" applyFont="1" applyFill="1" applyBorder="1" applyAlignment="1">
      <alignment horizontal="center" vertical="center"/>
    </xf>
    <xf numFmtId="165" fontId="15" fillId="0" borderId="0" xfId="0" applyNumberFormat="1" applyFont="1"/>
    <xf numFmtId="4" fontId="15" fillId="0" borderId="0" xfId="0" applyNumberFormat="1" applyFont="1"/>
    <xf numFmtId="0" fontId="18" fillId="2" borderId="1" xfId="0" applyFont="1" applyFill="1" applyBorder="1"/>
    <xf numFmtId="44" fontId="18" fillId="2" borderId="1" xfId="4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center" vertical="center"/>
    </xf>
    <xf numFmtId="0" fontId="18" fillId="3" borderId="2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vertical="center" wrapText="1"/>
    </xf>
    <xf numFmtId="2" fontId="18" fillId="3" borderId="3" xfId="0" applyNumberFormat="1" applyFont="1" applyFill="1" applyBorder="1" applyAlignment="1">
      <alignment horizontal="center" vertical="center"/>
    </xf>
    <xf numFmtId="44" fontId="18" fillId="3" borderId="3" xfId="4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left" wrapText="1"/>
    </xf>
    <xf numFmtId="0" fontId="18" fillId="3" borderId="21" xfId="0" applyFont="1" applyFill="1" applyBorder="1" applyAlignment="1">
      <alignment horizontal="center" vertical="center"/>
    </xf>
    <xf numFmtId="4" fontId="18" fillId="3" borderId="21" xfId="0" applyNumberFormat="1" applyFont="1" applyFill="1" applyBorder="1" applyAlignment="1">
      <alignment horizontal="center" vertical="center"/>
    </xf>
    <xf numFmtId="164" fontId="18" fillId="3" borderId="21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18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4" fontId="12" fillId="0" borderId="1" xfId="4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4" fillId="2" borderId="0" xfId="0" applyFont="1" applyFill="1"/>
    <xf numFmtId="0" fontId="21" fillId="2" borderId="0" xfId="0" applyFont="1" applyFill="1"/>
    <xf numFmtId="0" fontId="21" fillId="0" borderId="0" xfId="0" applyFont="1"/>
    <xf numFmtId="0" fontId="14" fillId="0" borderId="0" xfId="0" applyFont="1"/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4" fontId="5" fillId="6" borderId="1" xfId="0" applyNumberFormat="1" applyFont="1" applyFill="1" applyBorder="1" applyAlignment="1">
      <alignment horizontal="center" vertical="center"/>
    </xf>
    <xf numFmtId="44" fontId="5" fillId="6" borderId="1" xfId="4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4" fontId="5" fillId="6" borderId="1" xfId="4" applyFont="1" applyFill="1" applyBorder="1" applyAlignmen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left" vertical="center" wrapText="1"/>
    </xf>
    <xf numFmtId="4" fontId="13" fillId="6" borderId="1" xfId="0" applyNumberFormat="1" applyFont="1" applyFill="1" applyBorder="1" applyAlignment="1">
      <alignment horizontal="center" vertical="center"/>
    </xf>
    <xf numFmtId="44" fontId="13" fillId="6" borderId="1" xfId="4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44" fontId="13" fillId="6" borderId="1" xfId="13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12" fillId="0" borderId="0" xfId="0" applyFont="1"/>
    <xf numFmtId="0" fontId="20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 wrapText="1"/>
    </xf>
    <xf numFmtId="4" fontId="12" fillId="6" borderId="1" xfId="0" applyNumberFormat="1" applyFont="1" applyFill="1" applyBorder="1" applyAlignment="1">
      <alignment horizontal="center" vertical="center"/>
    </xf>
    <xf numFmtId="44" fontId="12" fillId="6" borderId="1" xfId="4" applyFont="1" applyFill="1" applyBorder="1" applyAlignment="1">
      <alignment horizontal="center" vertical="center"/>
    </xf>
    <xf numFmtId="44" fontId="20" fillId="6" borderId="1" xfId="4" applyFont="1" applyFill="1" applyBorder="1" applyAlignment="1">
      <alignment horizontal="center" vertical="center"/>
    </xf>
    <xf numFmtId="4" fontId="20" fillId="6" borderId="1" xfId="0" applyNumberFormat="1" applyFont="1" applyFill="1" applyBorder="1" applyAlignment="1">
      <alignment horizontal="center" vertical="center"/>
    </xf>
    <xf numFmtId="0" fontId="2" fillId="0" borderId="0" xfId="21"/>
    <xf numFmtId="0" fontId="23" fillId="0" borderId="18" xfId="21" applyFont="1" applyBorder="1" applyAlignment="1"/>
    <xf numFmtId="10" fontId="24" fillId="0" borderId="8" xfId="21" applyNumberFormat="1" applyFont="1" applyFill="1" applyBorder="1" applyAlignment="1">
      <alignment vertical="center"/>
    </xf>
    <xf numFmtId="0" fontId="24" fillId="0" borderId="8" xfId="21" applyNumberFormat="1" applyFont="1" applyFill="1" applyBorder="1" applyAlignment="1">
      <alignment vertical="center"/>
    </xf>
    <xf numFmtId="167" fontId="23" fillId="0" borderId="18" xfId="21" applyNumberFormat="1" applyFont="1" applyBorder="1" applyAlignment="1"/>
    <xf numFmtId="0" fontId="17" fillId="0" borderId="26" xfId="21" applyFont="1" applyBorder="1" applyAlignment="1">
      <alignment horizontal="center" vertical="center"/>
    </xf>
    <xf numFmtId="0" fontId="17" fillId="0" borderId="29" xfId="21" applyFont="1" applyBorder="1" applyAlignment="1">
      <alignment horizontal="center" wrapText="1"/>
    </xf>
    <xf numFmtId="0" fontId="24" fillId="7" borderId="24" xfId="21" applyFont="1" applyFill="1" applyBorder="1" applyAlignment="1">
      <alignment horizontal="center"/>
    </xf>
    <xf numFmtId="4" fontId="24" fillId="7" borderId="30" xfId="21" applyNumberFormat="1" applyFont="1" applyFill="1" applyBorder="1" applyAlignment="1">
      <alignment horizontal="center"/>
    </xf>
    <xf numFmtId="0" fontId="17" fillId="0" borderId="0" xfId="21" applyFont="1" applyFill="1" applyBorder="1" applyAlignment="1">
      <alignment horizontal="center" vertical="center"/>
    </xf>
    <xf numFmtId="0" fontId="2" fillId="0" borderId="31" xfId="21" applyFont="1" applyBorder="1" applyAlignment="1">
      <alignment horizontal="center"/>
    </xf>
    <xf numFmtId="2" fontId="2" fillId="0" borderId="35" xfId="22" applyNumberFormat="1" applyFont="1" applyBorder="1" applyAlignment="1">
      <alignment horizontal="center"/>
    </xf>
    <xf numFmtId="2" fontId="25" fillId="0" borderId="20" xfId="20" applyNumberFormat="1" applyFont="1" applyBorder="1" applyAlignment="1">
      <alignment horizontal="center" vertical="center"/>
    </xf>
    <xf numFmtId="2" fontId="26" fillId="0" borderId="36" xfId="20" applyNumberFormat="1" applyFont="1" applyBorder="1" applyAlignment="1">
      <alignment horizontal="center" vertical="center"/>
    </xf>
    <xf numFmtId="0" fontId="2" fillId="0" borderId="37" xfId="21" applyFont="1" applyBorder="1" applyAlignment="1">
      <alignment horizontal="center"/>
    </xf>
    <xf numFmtId="2" fontId="2" fillId="0" borderId="38" xfId="22" applyNumberFormat="1" applyFont="1" applyBorder="1" applyAlignment="1">
      <alignment horizontal="center"/>
    </xf>
    <xf numFmtId="0" fontId="2" fillId="0" borderId="39" xfId="21" applyFont="1" applyBorder="1" applyAlignment="1">
      <alignment horizontal="center"/>
    </xf>
    <xf numFmtId="2" fontId="2" fillId="0" borderId="43" xfId="22" applyNumberFormat="1" applyFont="1" applyBorder="1" applyAlignment="1">
      <alignment horizontal="center"/>
    </xf>
    <xf numFmtId="2" fontId="25" fillId="0" borderId="20" xfId="21" applyNumberFormat="1" applyFont="1" applyBorder="1" applyAlignment="1">
      <alignment horizontal="center"/>
    </xf>
    <xf numFmtId="0" fontId="26" fillId="0" borderId="36" xfId="21" applyFont="1" applyBorder="1" applyAlignment="1">
      <alignment horizontal="center"/>
    </xf>
    <xf numFmtId="0" fontId="2" fillId="0" borderId="44" xfId="21" applyFont="1" applyBorder="1" applyAlignment="1">
      <alignment horizontal="center"/>
    </xf>
    <xf numFmtId="4" fontId="2" fillId="0" borderId="45" xfId="21" applyNumberFormat="1" applyFont="1" applyBorder="1" applyAlignment="1">
      <alignment horizontal="center"/>
    </xf>
    <xf numFmtId="0" fontId="25" fillId="0" borderId="0" xfId="21" applyFont="1" applyFill="1" applyBorder="1" applyAlignment="1">
      <alignment vertical="center"/>
    </xf>
    <xf numFmtId="0" fontId="24" fillId="0" borderId="31" xfId="21" applyFont="1" applyBorder="1" applyAlignment="1">
      <alignment horizontal="center"/>
    </xf>
    <xf numFmtId="4" fontId="2" fillId="2" borderId="35" xfId="21" applyNumberFormat="1" applyFont="1" applyFill="1" applyBorder="1" applyAlignment="1">
      <alignment horizontal="center"/>
    </xf>
    <xf numFmtId="0" fontId="24" fillId="0" borderId="37" xfId="21" applyFont="1" applyBorder="1" applyAlignment="1">
      <alignment horizontal="center"/>
    </xf>
    <xf numFmtId="4" fontId="2" fillId="0" borderId="38" xfId="21" applyNumberFormat="1" applyFont="1" applyBorder="1" applyAlignment="1">
      <alignment horizontal="center"/>
    </xf>
    <xf numFmtId="0" fontId="24" fillId="0" borderId="39" xfId="21" applyFont="1" applyBorder="1" applyAlignment="1">
      <alignment horizontal="center"/>
    </xf>
    <xf numFmtId="4" fontId="2" fillId="0" borderId="43" xfId="21" applyNumberFormat="1" applyFont="1" applyBorder="1" applyAlignment="1">
      <alignment horizontal="center"/>
    </xf>
    <xf numFmtId="0" fontId="2" fillId="0" borderId="0" xfId="21" applyFill="1" applyBorder="1"/>
    <xf numFmtId="2" fontId="27" fillId="0" borderId="0" xfId="21" applyNumberFormat="1" applyFont="1"/>
    <xf numFmtId="2" fontId="29" fillId="7" borderId="18" xfId="21" applyNumberFormat="1" applyFont="1" applyFill="1" applyBorder="1" applyAlignment="1">
      <alignment horizontal="center" vertical="center"/>
    </xf>
    <xf numFmtId="166" fontId="16" fillId="0" borderId="18" xfId="23" applyFont="1" applyBorder="1" applyAlignment="1">
      <alignment vertical="center"/>
    </xf>
    <xf numFmtId="10" fontId="25" fillId="0" borderId="0" xfId="22" applyNumberFormat="1" applyFont="1" applyFill="1" applyBorder="1" applyAlignment="1">
      <alignment vertical="center"/>
    </xf>
    <xf numFmtId="0" fontId="2" fillId="0" borderId="0" xfId="21" applyFont="1"/>
    <xf numFmtId="0" fontId="31" fillId="0" borderId="0" xfId="21" applyFont="1"/>
    <xf numFmtId="0" fontId="33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168" fontId="35" fillId="0" borderId="1" xfId="0" applyNumberFormat="1" applyFont="1" applyBorder="1" applyAlignment="1">
      <alignment horizontal="right" vertical="center"/>
    </xf>
    <xf numFmtId="168" fontId="35" fillId="0" borderId="1" xfId="0" applyNumberFormat="1" applyFont="1" applyBorder="1" applyAlignment="1">
      <alignment horizontal="center" vertical="center"/>
    </xf>
    <xf numFmtId="168" fontId="34" fillId="0" borderId="1" xfId="0" applyNumberFormat="1" applyFont="1" applyBorder="1" applyAlignment="1">
      <alignment horizontal="right" vertical="center"/>
    </xf>
    <xf numFmtId="168" fontId="34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vertical="center"/>
    </xf>
    <xf numFmtId="0" fontId="36" fillId="8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10" fontId="35" fillId="0" borderId="1" xfId="0" applyNumberFormat="1" applyFont="1" applyBorder="1" applyAlignment="1">
      <alignment horizontal="center" vertical="center"/>
    </xf>
    <xf numFmtId="169" fontId="37" fillId="0" borderId="1" xfId="0" applyNumberFormat="1" applyFont="1" applyBorder="1" applyAlignment="1">
      <alignment horizontal="center" vertical="center"/>
    </xf>
    <xf numFmtId="10" fontId="34" fillId="0" borderId="1" xfId="0" applyNumberFormat="1" applyFont="1" applyBorder="1" applyAlignment="1">
      <alignment horizontal="center" vertical="center"/>
    </xf>
    <xf numFmtId="168" fontId="23" fillId="0" borderId="1" xfId="0" applyNumberFormat="1" applyFont="1" applyBorder="1" applyAlignment="1">
      <alignment horizontal="right" vertical="center"/>
    </xf>
    <xf numFmtId="10" fontId="23" fillId="0" borderId="1" xfId="0" applyNumberFormat="1" applyFont="1" applyBorder="1" applyAlignment="1">
      <alignment horizontal="center" vertical="center"/>
    </xf>
    <xf numFmtId="9" fontId="34" fillId="0" borderId="1" xfId="0" applyNumberFormat="1" applyFont="1" applyBorder="1" applyAlignment="1">
      <alignment horizontal="center" vertical="center"/>
    </xf>
    <xf numFmtId="168" fontId="34" fillId="0" borderId="1" xfId="0" applyNumberFormat="1" applyFont="1" applyBorder="1" applyAlignment="1">
      <alignment vertical="center"/>
    </xf>
    <xf numFmtId="168" fontId="23" fillId="0" borderId="1" xfId="0" applyNumberFormat="1" applyFont="1" applyBorder="1" applyAlignment="1">
      <alignment horizontal="center" vertical="center"/>
    </xf>
    <xf numFmtId="9" fontId="23" fillId="0" borderId="1" xfId="28" applyFont="1" applyBorder="1" applyAlignment="1">
      <alignment horizontal="center" vertical="center"/>
    </xf>
    <xf numFmtId="0" fontId="34" fillId="0" borderId="37" xfId="0" applyFont="1" applyBorder="1" applyAlignment="1">
      <alignment vertical="center"/>
    </xf>
    <xf numFmtId="0" fontId="34" fillId="0" borderId="46" xfId="0" applyFont="1" applyBorder="1" applyAlignment="1">
      <alignment vertical="center"/>
    </xf>
    <xf numFmtId="44" fontId="18" fillId="2" borderId="4" xfId="4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8" fillId="2" borderId="0" xfId="0" applyFont="1" applyFill="1"/>
    <xf numFmtId="0" fontId="15" fillId="0" borderId="0" xfId="0" applyFont="1" applyAlignment="1">
      <alignment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/>
    <xf numFmtId="0" fontId="18" fillId="2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/>
    </xf>
    <xf numFmtId="4" fontId="18" fillId="0" borderId="11" xfId="0" applyNumberFormat="1" applyFont="1" applyFill="1" applyBorder="1" applyAlignment="1">
      <alignment horizontal="center" vertical="center"/>
    </xf>
    <xf numFmtId="164" fontId="18" fillId="2" borderId="11" xfId="4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/>
    </xf>
    <xf numFmtId="164" fontId="18" fillId="2" borderId="1" xfId="4" applyNumberFormat="1" applyFont="1" applyFill="1" applyBorder="1" applyAlignment="1">
      <alignment horizontal="center" vertical="center"/>
    </xf>
    <xf numFmtId="44" fontId="18" fillId="2" borderId="1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4" fontId="18" fillId="0" borderId="5" xfId="0" applyNumberFormat="1" applyFont="1" applyFill="1" applyBorder="1" applyAlignment="1">
      <alignment horizontal="center" vertical="center"/>
    </xf>
    <xf numFmtId="164" fontId="18" fillId="2" borderId="5" xfId="4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vertical="center"/>
    </xf>
    <xf numFmtId="164" fontId="17" fillId="3" borderId="2" xfId="0" applyNumberFormat="1" applyFont="1" applyFill="1" applyBorder="1" applyAlignment="1">
      <alignment vertical="center"/>
    </xf>
    <xf numFmtId="0" fontId="18" fillId="2" borderId="1" xfId="27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" fontId="18" fillId="2" borderId="11" xfId="0" applyNumberFormat="1" applyFont="1" applyFill="1" applyBorder="1" applyAlignment="1">
      <alignment horizontal="center" vertical="center"/>
    </xf>
    <xf numFmtId="4" fontId="18" fillId="2" borderId="1" xfId="26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vertical="center"/>
    </xf>
    <xf numFmtId="0" fontId="18" fillId="0" borderId="0" xfId="0" applyFont="1"/>
    <xf numFmtId="0" fontId="17" fillId="3" borderId="13" xfId="0" applyFont="1" applyFill="1" applyBorder="1" applyAlignment="1">
      <alignment horizontal="center" vertical="center"/>
    </xf>
    <xf numFmtId="0" fontId="17" fillId="3" borderId="12" xfId="0" applyFont="1" applyFill="1" applyBorder="1" applyAlignment="1"/>
    <xf numFmtId="0" fontId="17" fillId="3" borderId="12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 wrapText="1"/>
    </xf>
    <xf numFmtId="164" fontId="18" fillId="2" borderId="0" xfId="0" applyNumberFormat="1" applyFont="1" applyFill="1" applyAlignment="1">
      <alignment horizontal="center" vertical="center"/>
    </xf>
    <xf numFmtId="164" fontId="18" fillId="2" borderId="0" xfId="0" applyNumberFormat="1" applyFont="1" applyFill="1" applyAlignment="1">
      <alignment horizontal="right" vertical="center"/>
    </xf>
    <xf numFmtId="0" fontId="18" fillId="2" borderId="2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/>
    </xf>
    <xf numFmtId="4" fontId="18" fillId="2" borderId="3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164" fontId="17" fillId="2" borderId="4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/>
    </xf>
    <xf numFmtId="2" fontId="18" fillId="0" borderId="3" xfId="0" applyNumberFormat="1" applyFont="1" applyFill="1" applyBorder="1" applyAlignment="1">
      <alignment horizontal="center" vertical="center"/>
    </xf>
    <xf numFmtId="44" fontId="18" fillId="0" borderId="3" xfId="4" applyFont="1" applyFill="1" applyBorder="1" applyAlignment="1">
      <alignment horizontal="center" vertical="center"/>
    </xf>
    <xf numFmtId="44" fontId="18" fillId="2" borderId="3" xfId="4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vertical="center"/>
    </xf>
    <xf numFmtId="164" fontId="17" fillId="2" borderId="14" xfId="0" applyNumberFormat="1" applyFont="1" applyFill="1" applyBorder="1" applyAlignment="1">
      <alignment vertical="center"/>
    </xf>
    <xf numFmtId="164" fontId="18" fillId="3" borderId="3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wrapText="1"/>
    </xf>
    <xf numFmtId="164" fontId="18" fillId="0" borderId="0" xfId="0" applyNumberFormat="1" applyFont="1" applyAlignment="1">
      <alignment horizontal="center" vertical="center"/>
    </xf>
    <xf numFmtId="164" fontId="18" fillId="0" borderId="0" xfId="0" applyNumberFormat="1" applyFont="1"/>
    <xf numFmtId="0" fontId="4" fillId="2" borderId="0" xfId="0" applyFont="1" applyFill="1"/>
    <xf numFmtId="0" fontId="4" fillId="0" borderId="0" xfId="0" applyFont="1"/>
    <xf numFmtId="0" fontId="18" fillId="0" borderId="0" xfId="0" applyFont="1" applyAlignment="1">
      <alignment horizontal="center" vertical="center"/>
    </xf>
    <xf numFmtId="0" fontId="17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horizontal="left" wrapText="1"/>
    </xf>
    <xf numFmtId="0" fontId="17" fillId="0" borderId="1" xfId="0" applyFont="1" applyFill="1" applyBorder="1" applyAlignment="1"/>
    <xf numFmtId="0" fontId="16" fillId="4" borderId="1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vertical="center"/>
    </xf>
    <xf numFmtId="9" fontId="15" fillId="2" borderId="0" xfId="0" applyNumberFormat="1" applyFont="1" applyFill="1" applyBorder="1" applyAlignment="1"/>
    <xf numFmtId="0" fontId="38" fillId="2" borderId="50" xfId="0" applyFont="1" applyFill="1" applyBorder="1" applyAlignment="1">
      <alignment vertical="center" wrapText="1"/>
    </xf>
    <xf numFmtId="0" fontId="38" fillId="2" borderId="49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38" fillId="2" borderId="51" xfId="0" applyFont="1" applyFill="1" applyBorder="1" applyAlignment="1">
      <alignment horizontal="center" vertical="center" wrapText="1"/>
    </xf>
    <xf numFmtId="0" fontId="38" fillId="2" borderId="8" xfId="0" applyFont="1" applyFill="1" applyBorder="1" applyAlignment="1">
      <alignment vertical="center" wrapText="1"/>
    </xf>
    <xf numFmtId="0" fontId="38" fillId="2" borderId="54" xfId="0" applyFont="1" applyFill="1" applyBorder="1" applyAlignment="1">
      <alignment vertical="center" wrapText="1"/>
    </xf>
    <xf numFmtId="49" fontId="17" fillId="0" borderId="53" xfId="0" applyNumberFormat="1" applyFont="1" applyBorder="1" applyAlignment="1">
      <alignment horizontal="center" vertical="center" wrapText="1"/>
    </xf>
    <xf numFmtId="0" fontId="34" fillId="0" borderId="31" xfId="0" applyFont="1" applyBorder="1" applyAlignment="1">
      <alignment vertical="center"/>
    </xf>
    <xf numFmtId="0" fontId="18" fillId="2" borderId="8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left" wrapText="1"/>
    </xf>
    <xf numFmtId="164" fontId="18" fillId="2" borderId="16" xfId="0" applyNumberFormat="1" applyFont="1" applyFill="1" applyBorder="1" applyAlignment="1">
      <alignment horizontal="right" vertical="center"/>
    </xf>
    <xf numFmtId="0" fontId="16" fillId="4" borderId="37" xfId="0" applyFont="1" applyFill="1" applyBorder="1" applyAlignment="1">
      <alignment horizontal="center" vertical="center"/>
    </xf>
    <xf numFmtId="164" fontId="16" fillId="4" borderId="38" xfId="0" applyNumberFormat="1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164" fontId="17" fillId="0" borderId="38" xfId="0" applyNumberFormat="1" applyFont="1" applyFill="1" applyBorder="1" applyAlignment="1"/>
    <xf numFmtId="164" fontId="39" fillId="4" borderId="48" xfId="0" applyNumberFormat="1" applyFont="1" applyFill="1" applyBorder="1" applyAlignment="1">
      <alignment vertical="center"/>
    </xf>
    <xf numFmtId="0" fontId="18" fillId="0" borderId="1" xfId="0" applyNumberFormat="1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vertical="center"/>
    </xf>
    <xf numFmtId="164" fontId="17" fillId="2" borderId="3" xfId="0" applyNumberFormat="1" applyFont="1" applyFill="1" applyBorder="1" applyAlignment="1">
      <alignment vertical="center"/>
    </xf>
    <xf numFmtId="0" fontId="40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left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center" vertical="center"/>
    </xf>
    <xf numFmtId="44" fontId="4" fillId="2" borderId="1" xfId="4" applyFont="1" applyFill="1" applyBorder="1" applyAlignment="1">
      <alignment vertical="center"/>
    </xf>
    <xf numFmtId="44" fontId="4" fillId="2" borderId="1" xfId="4" applyFont="1" applyFill="1" applyBorder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4" fontId="12" fillId="2" borderId="1" xfId="0" applyNumberFormat="1" applyFont="1" applyFill="1" applyBorder="1" applyAlignment="1">
      <alignment horizontal="center" vertical="center"/>
    </xf>
    <xf numFmtId="44" fontId="12" fillId="2" borderId="1" xfId="4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44" fontId="14" fillId="0" borderId="0" xfId="0" applyNumberFormat="1" applyFont="1"/>
    <xf numFmtId="44" fontId="12" fillId="0" borderId="0" xfId="0" applyNumberFormat="1" applyFont="1"/>
    <xf numFmtId="8" fontId="15" fillId="0" borderId="0" xfId="0" applyNumberFormat="1" applyFont="1"/>
    <xf numFmtId="0" fontId="18" fillId="2" borderId="4" xfId="0" applyFont="1" applyFill="1" applyBorder="1" applyAlignment="1">
      <alignment horizontal="center" vertical="center"/>
    </xf>
    <xf numFmtId="10" fontId="15" fillId="2" borderId="0" xfId="28" applyNumberFormat="1" applyFont="1" applyFill="1"/>
    <xf numFmtId="0" fontId="18" fillId="2" borderId="1" xfId="0" applyFont="1" applyFill="1" applyBorder="1" applyAlignment="1">
      <alignment horizontal="left"/>
    </xf>
    <xf numFmtId="0" fontId="18" fillId="2" borderId="5" xfId="0" applyFont="1" applyFill="1" applyBorder="1" applyAlignment="1">
      <alignment horizontal="center" vertical="center"/>
    </xf>
    <xf numFmtId="4" fontId="18" fillId="2" borderId="5" xfId="0" applyNumberFormat="1" applyFont="1" applyFill="1" applyBorder="1" applyAlignment="1">
      <alignment horizontal="center" vertical="center"/>
    </xf>
    <xf numFmtId="44" fontId="18" fillId="2" borderId="5" xfId="4" applyFont="1" applyFill="1" applyBorder="1" applyAlignment="1">
      <alignment horizontal="center" vertical="center"/>
    </xf>
    <xf numFmtId="8" fontId="18" fillId="0" borderId="0" xfId="0" applyNumberFormat="1" applyFont="1" applyAlignment="1">
      <alignment horizontal="center" vertical="center"/>
    </xf>
    <xf numFmtId="0" fontId="16" fillId="2" borderId="5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164" fontId="16" fillId="2" borderId="11" xfId="0" applyNumberFormat="1" applyFont="1" applyFill="1" applyBorder="1" applyAlignment="1">
      <alignment horizontal="center" vertical="center"/>
    </xf>
    <xf numFmtId="164" fontId="16" fillId="2" borderId="11" xfId="0" applyNumberFormat="1" applyFont="1" applyFill="1" applyBorder="1" applyAlignment="1">
      <alignment horizontal="center" vertical="center" wrapText="1"/>
    </xf>
    <xf numFmtId="0" fontId="18" fillId="2" borderId="57" xfId="0" applyFont="1" applyFill="1" applyBorder="1" applyAlignment="1">
      <alignment horizontal="center" vertical="center" wrapText="1"/>
    </xf>
    <xf numFmtId="10" fontId="18" fillId="2" borderId="1" xfId="28" applyNumberFormat="1" applyFont="1" applyFill="1" applyBorder="1" applyAlignment="1">
      <alignment horizontal="center" vertical="center"/>
    </xf>
    <xf numFmtId="10" fontId="18" fillId="2" borderId="2" xfId="0" applyNumberFormat="1" applyFont="1" applyFill="1" applyBorder="1" applyAlignment="1">
      <alignment horizontal="center" vertical="center"/>
    </xf>
    <xf numFmtId="10" fontId="18" fillId="0" borderId="2" xfId="0" applyNumberFormat="1" applyFont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left" vertical="center" wrapText="1"/>
    </xf>
    <xf numFmtId="164" fontId="18" fillId="2" borderId="5" xfId="0" applyNumberFormat="1" applyFont="1" applyFill="1" applyBorder="1" applyAlignment="1">
      <alignment horizontal="right" vertical="center"/>
    </xf>
    <xf numFmtId="10" fontId="18" fillId="2" borderId="5" xfId="28" applyNumberFormat="1" applyFont="1" applyFill="1" applyBorder="1" applyAlignment="1">
      <alignment horizontal="center" vertical="center"/>
    </xf>
    <xf numFmtId="10" fontId="18" fillId="2" borderId="13" xfId="0" applyNumberFormat="1" applyFont="1" applyFill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39" fillId="4" borderId="55" xfId="0" applyFont="1" applyFill="1" applyBorder="1" applyAlignment="1">
      <alignment horizontal="right" vertical="center"/>
    </xf>
    <xf numFmtId="0" fontId="39" fillId="4" borderId="42" xfId="0" applyFont="1" applyFill="1" applyBorder="1" applyAlignment="1">
      <alignment horizontal="right" vertical="center"/>
    </xf>
    <xf numFmtId="0" fontId="34" fillId="0" borderId="11" xfId="0" applyFont="1" applyBorder="1" applyAlignment="1">
      <alignment horizontal="left" vertical="center"/>
    </xf>
    <xf numFmtId="0" fontId="34" fillId="0" borderId="38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164" fontId="17" fillId="0" borderId="52" xfId="0" applyNumberFormat="1" applyFont="1" applyBorder="1" applyAlignment="1">
      <alignment horizontal="center" vertical="center" wrapText="1"/>
    </xf>
    <xf numFmtId="164" fontId="17" fillId="0" borderId="53" xfId="0" applyNumberFormat="1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4" fontId="17" fillId="0" borderId="15" xfId="0" applyNumberFormat="1" applyFont="1" applyBorder="1" applyAlignment="1">
      <alignment horizontal="center" vertical="center" wrapText="1"/>
    </xf>
    <xf numFmtId="164" fontId="17" fillId="0" borderId="17" xfId="0" applyNumberFormat="1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wrapText="1"/>
    </xf>
    <xf numFmtId="49" fontId="17" fillId="0" borderId="16" xfId="0" applyNumberFormat="1" applyFont="1" applyBorder="1" applyAlignment="1">
      <alignment horizontal="center" vertical="center" wrapText="1"/>
    </xf>
    <xf numFmtId="49" fontId="17" fillId="0" borderId="17" xfId="0" applyNumberFormat="1" applyFont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4" fillId="0" borderId="4" xfId="0" applyNumberFormat="1" applyFont="1" applyBorder="1" applyAlignment="1">
      <alignment horizontal="center" vertical="center"/>
    </xf>
    <xf numFmtId="0" fontId="34" fillId="0" borderId="38" xfId="0" applyNumberFormat="1" applyFont="1" applyBorder="1" applyAlignment="1">
      <alignment horizontal="center" vertical="center" wrapText="1"/>
    </xf>
    <xf numFmtId="0" fontId="34" fillId="0" borderId="42" xfId="0" applyNumberFormat="1" applyFont="1" applyBorder="1" applyAlignment="1">
      <alignment horizontal="center" vertical="center"/>
    </xf>
    <xf numFmtId="10" fontId="34" fillId="0" borderId="38" xfId="0" applyNumberFormat="1" applyFont="1" applyBorder="1" applyAlignment="1">
      <alignment horizontal="center" vertical="center"/>
    </xf>
    <xf numFmtId="0" fontId="34" fillId="0" borderId="48" xfId="0" applyNumberFormat="1" applyFont="1" applyBorder="1" applyAlignment="1">
      <alignment horizontal="center" vertical="center"/>
    </xf>
    <xf numFmtId="0" fontId="34" fillId="0" borderId="47" xfId="0" applyFont="1" applyBorder="1" applyAlignment="1">
      <alignment horizontal="left" vertical="center"/>
    </xf>
    <xf numFmtId="0" fontId="30" fillId="0" borderId="20" xfId="21" applyFont="1" applyBorder="1" applyAlignment="1">
      <alignment horizontal="center" vertical="center" wrapText="1"/>
    </xf>
    <xf numFmtId="0" fontId="30" fillId="0" borderId="19" xfId="21" applyFont="1" applyBorder="1" applyAlignment="1">
      <alignment horizontal="center" vertical="center" wrapText="1"/>
    </xf>
    <xf numFmtId="0" fontId="30" fillId="0" borderId="36" xfId="21" applyFont="1" applyBorder="1" applyAlignment="1">
      <alignment horizontal="center" vertical="center" wrapText="1"/>
    </xf>
    <xf numFmtId="0" fontId="2" fillId="0" borderId="6" xfId="21" applyBorder="1" applyAlignment="1">
      <alignment horizontal="center"/>
    </xf>
    <xf numFmtId="0" fontId="2" fillId="0" borderId="7" xfId="21" applyBorder="1" applyAlignment="1">
      <alignment horizontal="center"/>
    </xf>
    <xf numFmtId="0" fontId="2" fillId="0" borderId="15" xfId="21" applyBorder="1" applyAlignment="1">
      <alignment horizontal="center"/>
    </xf>
    <xf numFmtId="0" fontId="2" fillId="0" borderId="8" xfId="21" applyBorder="1" applyAlignment="1">
      <alignment horizontal="center"/>
    </xf>
    <xf numFmtId="0" fontId="2" fillId="0" borderId="0" xfId="21" applyBorder="1" applyAlignment="1">
      <alignment horizontal="center"/>
    </xf>
    <xf numFmtId="0" fontId="2" fillId="0" borderId="16" xfId="21" applyBorder="1" applyAlignment="1">
      <alignment horizontal="center"/>
    </xf>
    <xf numFmtId="0" fontId="2" fillId="0" borderId="9" xfId="21" applyBorder="1" applyAlignment="1">
      <alignment horizontal="center"/>
    </xf>
    <xf numFmtId="0" fontId="2" fillId="0" borderId="10" xfId="21" applyBorder="1" applyAlignment="1">
      <alignment horizontal="center"/>
    </xf>
    <xf numFmtId="0" fontId="2" fillId="0" borderId="17" xfId="21" applyBorder="1" applyAlignment="1">
      <alignment horizontal="center"/>
    </xf>
    <xf numFmtId="1" fontId="2" fillId="0" borderId="2" xfId="21" applyNumberFormat="1" applyFont="1" applyBorder="1" applyAlignment="1">
      <alignment horizontal="left"/>
    </xf>
    <xf numFmtId="1" fontId="2" fillId="0" borderId="3" xfId="21" applyNumberFormat="1" applyFont="1" applyBorder="1" applyAlignment="1">
      <alignment horizontal="left"/>
    </xf>
    <xf numFmtId="0" fontId="2" fillId="0" borderId="3" xfId="21" applyBorder="1" applyAlignment="1">
      <alignment horizontal="left"/>
    </xf>
    <xf numFmtId="0" fontId="2" fillId="0" borderId="4" xfId="21" applyBorder="1" applyAlignment="1">
      <alignment horizontal="left"/>
    </xf>
    <xf numFmtId="0" fontId="2" fillId="0" borderId="9" xfId="21" applyFont="1" applyFill="1" applyBorder="1" applyAlignment="1">
      <alignment horizontal="left"/>
    </xf>
    <xf numFmtId="0" fontId="2" fillId="0" borderId="10" xfId="21" applyFont="1" applyFill="1" applyBorder="1" applyAlignment="1">
      <alignment horizontal="left"/>
    </xf>
    <xf numFmtId="0" fontId="2" fillId="0" borderId="17" xfId="21" applyFont="1" applyFill="1" applyBorder="1" applyAlignment="1">
      <alignment horizontal="left"/>
    </xf>
    <xf numFmtId="0" fontId="2" fillId="0" borderId="20" xfId="21" applyFont="1" applyFill="1" applyBorder="1" applyAlignment="1">
      <alignment horizontal="left" vertical="center" wrapText="1"/>
    </xf>
    <xf numFmtId="0" fontId="2" fillId="0" borderId="19" xfId="21" applyFont="1" applyFill="1" applyBorder="1" applyAlignment="1">
      <alignment horizontal="left" vertical="center" wrapText="1"/>
    </xf>
    <xf numFmtId="0" fontId="2" fillId="0" borderId="36" xfId="21" applyFont="1" applyFill="1" applyBorder="1" applyAlignment="1">
      <alignment horizontal="left" vertical="center" wrapText="1"/>
    </xf>
    <xf numFmtId="0" fontId="28" fillId="7" borderId="20" xfId="21" applyFont="1" applyFill="1" applyBorder="1" applyAlignment="1">
      <alignment horizontal="center" vertical="center" wrapText="1"/>
    </xf>
    <xf numFmtId="0" fontId="28" fillId="7" borderId="19" xfId="21" applyFont="1" applyFill="1" applyBorder="1" applyAlignment="1">
      <alignment horizontal="center" vertical="center" wrapText="1"/>
    </xf>
    <xf numFmtId="0" fontId="28" fillId="7" borderId="36" xfId="21" applyFont="1" applyFill="1" applyBorder="1" applyAlignment="1">
      <alignment horizontal="center" vertical="center" wrapText="1"/>
    </xf>
    <xf numFmtId="0" fontId="17" fillId="0" borderId="20" xfId="21" applyFont="1" applyBorder="1" applyAlignment="1">
      <alignment horizontal="center"/>
    </xf>
    <xf numFmtId="0" fontId="17" fillId="0" borderId="19" xfId="21" applyFont="1" applyBorder="1" applyAlignment="1">
      <alignment horizontal="center"/>
    </xf>
    <xf numFmtId="0" fontId="17" fillId="0" borderId="36" xfId="21" applyFont="1" applyBorder="1" applyAlignment="1">
      <alignment horizontal="center"/>
    </xf>
    <xf numFmtId="1" fontId="24" fillId="0" borderId="9" xfId="21" applyNumberFormat="1" applyFont="1" applyBorder="1" applyAlignment="1">
      <alignment horizontal="center" vertical="center"/>
    </xf>
    <xf numFmtId="1" fontId="24" fillId="0" borderId="10" xfId="21" applyNumberFormat="1" applyFont="1" applyBorder="1" applyAlignment="1">
      <alignment horizontal="center" vertical="center"/>
    </xf>
    <xf numFmtId="1" fontId="24" fillId="0" borderId="17" xfId="21" applyNumberFormat="1" applyFont="1" applyBorder="1" applyAlignment="1">
      <alignment horizontal="center" vertical="center"/>
    </xf>
    <xf numFmtId="0" fontId="2" fillId="0" borderId="3" xfId="21" applyFont="1" applyBorder="1" applyAlignment="1">
      <alignment horizontal="left"/>
    </xf>
    <xf numFmtId="0" fontId="17" fillId="0" borderId="27" xfId="21" applyFont="1" applyBorder="1" applyAlignment="1">
      <alignment horizontal="center" vertical="center"/>
    </xf>
    <xf numFmtId="0" fontId="17" fillId="0" borderId="19" xfId="21" applyFont="1" applyBorder="1" applyAlignment="1">
      <alignment horizontal="center" vertical="center"/>
    </xf>
    <xf numFmtId="0" fontId="17" fillId="0" borderId="28" xfId="21" applyFont="1" applyBorder="1" applyAlignment="1">
      <alignment horizontal="center" vertical="center"/>
    </xf>
    <xf numFmtId="1" fontId="24" fillId="7" borderId="27" xfId="21" applyNumberFormat="1" applyFont="1" applyFill="1" applyBorder="1" applyAlignment="1">
      <alignment horizontal="left"/>
    </xf>
    <xf numFmtId="1" fontId="24" fillId="7" borderId="19" xfId="21" applyNumberFormat="1" applyFont="1" applyFill="1" applyBorder="1" applyAlignment="1">
      <alignment horizontal="left"/>
    </xf>
    <xf numFmtId="1" fontId="24" fillId="7" borderId="28" xfId="21" applyNumberFormat="1" applyFont="1" applyFill="1" applyBorder="1" applyAlignment="1">
      <alignment horizontal="left"/>
    </xf>
    <xf numFmtId="1" fontId="2" fillId="0" borderId="32" xfId="21" applyNumberFormat="1" applyFont="1" applyBorder="1" applyAlignment="1">
      <alignment horizontal="left"/>
    </xf>
    <xf numFmtId="0" fontId="2" fillId="0" borderId="33" xfId="21" applyFont="1" applyBorder="1" applyAlignment="1">
      <alignment horizontal="left"/>
    </xf>
    <xf numFmtId="0" fontId="2" fillId="0" borderId="33" xfId="21" applyBorder="1" applyAlignment="1">
      <alignment horizontal="left"/>
    </xf>
    <xf numFmtId="0" fontId="2" fillId="0" borderId="34" xfId="21" applyBorder="1" applyAlignment="1">
      <alignment horizontal="left"/>
    </xf>
    <xf numFmtId="1" fontId="2" fillId="0" borderId="40" xfId="21" applyNumberFormat="1" applyFont="1" applyBorder="1" applyAlignment="1">
      <alignment horizontal="left"/>
    </xf>
    <xf numFmtId="0" fontId="2" fillId="0" borderId="41" xfId="21" applyFont="1" applyBorder="1" applyAlignment="1">
      <alignment horizontal="left"/>
    </xf>
    <xf numFmtId="0" fontId="2" fillId="0" borderId="41" xfId="21" applyBorder="1" applyAlignment="1">
      <alignment horizontal="left"/>
    </xf>
    <xf numFmtId="0" fontId="2" fillId="0" borderId="42" xfId="21" applyBorder="1" applyAlignment="1">
      <alignment horizontal="left"/>
    </xf>
    <xf numFmtId="0" fontId="24" fillId="7" borderId="19" xfId="21" applyFont="1" applyFill="1" applyBorder="1" applyAlignment="1">
      <alignment horizontal="left"/>
    </xf>
    <xf numFmtId="0" fontId="2" fillId="7" borderId="19" xfId="21" applyFill="1" applyBorder="1" applyAlignment="1">
      <alignment horizontal="left"/>
    </xf>
    <xf numFmtId="0" fontId="2" fillId="7" borderId="28" xfId="21" applyFill="1" applyBorder="1" applyAlignment="1">
      <alignment horizontal="left"/>
    </xf>
    <xf numFmtId="1" fontId="2" fillId="0" borderId="27" xfId="21" applyNumberFormat="1" applyFont="1" applyBorder="1" applyAlignment="1">
      <alignment horizontal="left"/>
    </xf>
    <xf numFmtId="0" fontId="2" fillId="0" borderId="19" xfId="21" applyFont="1" applyBorder="1" applyAlignment="1">
      <alignment horizontal="left"/>
    </xf>
    <xf numFmtId="0" fontId="2" fillId="0" borderId="19" xfId="21" applyBorder="1" applyAlignment="1">
      <alignment horizontal="left"/>
    </xf>
    <xf numFmtId="0" fontId="2" fillId="0" borderId="28" xfId="21" applyBorder="1" applyAlignment="1">
      <alignment horizontal="left"/>
    </xf>
    <xf numFmtId="1" fontId="2" fillId="0" borderId="33" xfId="21" applyNumberFormat="1" applyFont="1" applyBorder="1" applyAlignment="1">
      <alignment horizontal="left"/>
    </xf>
    <xf numFmtId="0" fontId="34" fillId="0" borderId="56" xfId="0" applyFont="1" applyBorder="1" applyAlignment="1">
      <alignment horizontal="left" vertical="center"/>
    </xf>
    <xf numFmtId="0" fontId="34" fillId="0" borderId="33" xfId="0" applyFont="1" applyBorder="1" applyAlignment="1">
      <alignment horizontal="left" vertical="center"/>
    </xf>
    <xf numFmtId="0" fontId="34" fillId="0" borderId="52" xfId="0" applyFont="1" applyBorder="1" applyAlignment="1">
      <alignment horizontal="left" vertical="center"/>
    </xf>
    <xf numFmtId="0" fontId="24" fillId="0" borderId="18" xfId="21" applyNumberFormat="1" applyFont="1" applyFill="1" applyBorder="1" applyAlignment="1">
      <alignment horizontal="center" vertical="center"/>
    </xf>
    <xf numFmtId="2" fontId="24" fillId="0" borderId="18" xfId="28" applyNumberFormat="1" applyFont="1" applyFill="1" applyBorder="1" applyAlignment="1">
      <alignment horizontal="center" vertical="center"/>
    </xf>
    <xf numFmtId="0" fontId="22" fillId="0" borderId="6" xfId="21" applyFont="1" applyFill="1" applyBorder="1" applyAlignment="1">
      <alignment horizontal="center" vertical="center"/>
    </xf>
    <xf numFmtId="0" fontId="22" fillId="0" borderId="7" xfId="21" applyFont="1" applyFill="1" applyBorder="1" applyAlignment="1">
      <alignment horizontal="center" vertical="center"/>
    </xf>
    <xf numFmtId="0" fontId="22" fillId="0" borderId="15" xfId="21" applyFont="1" applyFill="1" applyBorder="1" applyAlignment="1">
      <alignment horizontal="center" vertical="center"/>
    </xf>
    <xf numFmtId="0" fontId="22" fillId="0" borderId="8" xfId="21" applyFont="1" applyFill="1" applyBorder="1" applyAlignment="1">
      <alignment horizontal="center" vertical="center"/>
    </xf>
    <xf numFmtId="0" fontId="22" fillId="0" borderId="0" xfId="21" applyFont="1" applyFill="1" applyBorder="1" applyAlignment="1">
      <alignment horizontal="center" vertical="center"/>
    </xf>
    <xf numFmtId="0" fontId="22" fillId="0" borderId="16" xfId="21" applyFont="1" applyFill="1" applyBorder="1" applyAlignment="1">
      <alignment horizontal="center" vertical="center"/>
    </xf>
    <xf numFmtId="0" fontId="22" fillId="0" borderId="9" xfId="21" applyFont="1" applyFill="1" applyBorder="1" applyAlignment="1">
      <alignment horizontal="center" vertical="center"/>
    </xf>
    <xf numFmtId="0" fontId="22" fillId="0" borderId="10" xfId="21" applyFont="1" applyFill="1" applyBorder="1" applyAlignment="1">
      <alignment horizontal="center" vertical="center"/>
    </xf>
    <xf numFmtId="0" fontId="22" fillId="0" borderId="17" xfId="2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29">
    <cellStyle name="Currency 2 2 3" xfId="2"/>
    <cellStyle name="Currency 2 2 3 2" xfId="5"/>
    <cellStyle name="Currency 2 2 3 3" xfId="18"/>
    <cellStyle name="Moeda" xfId="4" builtinId="4"/>
    <cellStyle name="Moeda 2" xfId="6"/>
    <cellStyle name="Moeda 2 2" xfId="23"/>
    <cellStyle name="Moeda 2 3" xfId="14"/>
    <cellStyle name="Moeda 3" xfId="7"/>
    <cellStyle name="Moeda 3 2" xfId="19"/>
    <cellStyle name="Moeda 4" xfId="24"/>
    <cellStyle name="Moeda 5" xfId="13"/>
    <cellStyle name="Normal" xfId="0" builtinId="0"/>
    <cellStyle name="Normal 10" xfId="3"/>
    <cellStyle name="Normal 2" xfId="11"/>
    <cellStyle name="Normal 2 2 2" xfId="21"/>
    <cellStyle name="Normal 3 2" xfId="20"/>
    <cellStyle name="Normal 32 2 2" xfId="1"/>
    <cellStyle name="Normal_Orçamento Padrão-03-2014" xfId="27"/>
    <cellStyle name="Porcentagem" xfId="28" builtinId="5"/>
    <cellStyle name="Porcentagem 2 2" xfId="22"/>
    <cellStyle name="Porcentagem 3" xfId="10"/>
    <cellStyle name="Separador de milhares 3 2" xfId="8"/>
    <cellStyle name="Separador de milhares 3 2 2" xfId="15"/>
    <cellStyle name="Separador de milhares 6" xfId="9"/>
    <cellStyle name="Separador de milhares 6 2" xfId="16"/>
    <cellStyle name="Vírgula" xfId="26" builtinId="3"/>
    <cellStyle name="Vírgula 2" xfId="12"/>
    <cellStyle name="Vírgula 2 2" xfId="17"/>
    <cellStyle name="Vírgula 3" xfId="25"/>
  </cellStyles>
  <dxfs count="14">
    <dxf>
      <font>
        <strike val="0"/>
        <outline val="0"/>
        <shadow val="0"/>
        <u val="none"/>
        <vertAlign val="baseline"/>
        <color auto="1"/>
        <name val="Arial"/>
        <scheme val="none"/>
      </font>
      <numFmt numFmtId="14" formatCode="0.00%"/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_-[$R$-416]\ * #,##0.00_-;\-[$R$-416]\ * #,##0.00_-;_-[$R$-416]\ 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_-[$R$-416]\ * #,##0.00_-;\-[$R$-416]\ * #,##0.00_-;_-[$R$-416]\ 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79F07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110009</xdr:colOff>
      <xdr:row>1</xdr:row>
      <xdr:rowOff>178851</xdr:rowOff>
    </xdr:from>
    <xdr:to>
      <xdr:col>2</xdr:col>
      <xdr:colOff>465287</xdr:colOff>
      <xdr:row>2</xdr:row>
      <xdr:rowOff>257303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31" y="369351"/>
          <a:ext cx="1672213" cy="5671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121709</xdr:colOff>
      <xdr:row>1</xdr:row>
      <xdr:rowOff>120650</xdr:rowOff>
    </xdr:from>
    <xdr:to>
      <xdr:col>3</xdr:col>
      <xdr:colOff>278082</xdr:colOff>
      <xdr:row>3</xdr:row>
      <xdr:rowOff>57149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559" y="311150"/>
          <a:ext cx="1908973" cy="6222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1157654</xdr:colOff>
      <xdr:row>0</xdr:row>
      <xdr:rowOff>80597</xdr:rowOff>
    </xdr:from>
    <xdr:to>
      <xdr:col>7</xdr:col>
      <xdr:colOff>1865012</xdr:colOff>
      <xdr:row>4</xdr:row>
      <xdr:rowOff>58127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539" y="80597"/>
          <a:ext cx="1908973" cy="6222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23054</xdr:colOff>
      <xdr:row>11</xdr:row>
      <xdr:rowOff>15022</xdr:rowOff>
    </xdr:from>
    <xdr:to>
      <xdr:col>7</xdr:col>
      <xdr:colOff>1004888</xdr:colOff>
      <xdr:row>11</xdr:row>
      <xdr:rowOff>157164</xdr:rowOff>
    </xdr:to>
    <xdr:sp macro="" textlink="">
      <xdr:nvSpPr>
        <xdr:cNvPr id="2" name="Seta para a esquerda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8605079" y="2320072"/>
          <a:ext cx="981834" cy="142142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7</xdr:col>
      <xdr:colOff>21773</xdr:colOff>
      <xdr:row>12</xdr:row>
      <xdr:rowOff>20516</xdr:rowOff>
    </xdr:from>
    <xdr:to>
      <xdr:col>7</xdr:col>
      <xdr:colOff>1003607</xdr:colOff>
      <xdr:row>12</xdr:row>
      <xdr:rowOff>159727</xdr:rowOff>
    </xdr:to>
    <xdr:sp macro="" textlink="">
      <xdr:nvSpPr>
        <xdr:cNvPr id="3" name="Seta para a esquerda 2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8603798" y="2497016"/>
          <a:ext cx="981834" cy="139211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7</xdr:col>
      <xdr:colOff>22505</xdr:colOff>
      <xdr:row>13</xdr:row>
      <xdr:rowOff>31324</xdr:rowOff>
    </xdr:from>
    <xdr:to>
      <xdr:col>7</xdr:col>
      <xdr:colOff>1004339</xdr:colOff>
      <xdr:row>14</xdr:row>
      <xdr:rowOff>1202</xdr:rowOff>
    </xdr:to>
    <xdr:sp macro="" textlink="">
      <xdr:nvSpPr>
        <xdr:cNvPr id="4" name="Seta para a esquerda 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8604530" y="2679274"/>
          <a:ext cx="981834" cy="141328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pt-BR"/>
            <a:t>co</a:t>
          </a:r>
        </a:p>
      </xdr:txBody>
    </xdr:sp>
    <xdr:clientData/>
  </xdr:twoCellAnchor>
  <xdr:twoCellAnchor>
    <xdr:from>
      <xdr:col>7</xdr:col>
      <xdr:colOff>23788</xdr:colOff>
      <xdr:row>16</xdr:row>
      <xdr:rowOff>10259</xdr:rowOff>
    </xdr:from>
    <xdr:to>
      <xdr:col>7</xdr:col>
      <xdr:colOff>1005622</xdr:colOff>
      <xdr:row>16</xdr:row>
      <xdr:rowOff>149470</xdr:rowOff>
    </xdr:to>
    <xdr:sp macro="" textlink="">
      <xdr:nvSpPr>
        <xdr:cNvPr id="5" name="Seta para a esquerda 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8605813" y="3172559"/>
          <a:ext cx="981834" cy="139211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7</xdr:col>
      <xdr:colOff>21165</xdr:colOff>
      <xdr:row>14</xdr:row>
      <xdr:rowOff>21166</xdr:rowOff>
    </xdr:from>
    <xdr:to>
      <xdr:col>7</xdr:col>
      <xdr:colOff>1002999</xdr:colOff>
      <xdr:row>14</xdr:row>
      <xdr:rowOff>160377</xdr:rowOff>
    </xdr:to>
    <xdr:sp macro="" textlink="">
      <xdr:nvSpPr>
        <xdr:cNvPr id="6" name="Seta para a esquerda 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8603190" y="2840566"/>
          <a:ext cx="981834" cy="139211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pt-BR"/>
            <a:t>co</a:t>
          </a:r>
        </a:p>
      </xdr:txBody>
    </xdr:sp>
    <xdr:clientData/>
  </xdr:twoCellAnchor>
  <xdr:oneCellAnchor>
    <xdr:from>
      <xdr:col>2</xdr:col>
      <xdr:colOff>1394809</xdr:colOff>
      <xdr:row>29</xdr:row>
      <xdr:rowOff>15875</xdr:rowOff>
    </xdr:from>
    <xdr:ext cx="3345468" cy="44121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775934" y="5816600"/>
              <a:ext cx="3345468" cy="4412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800" i="0">
                  <a:latin typeface="Arial" panose="020B0604020202020204" pitchFamily="34" charset="0"/>
                  <a:cs typeface="Arial" panose="020B0604020202020204" pitchFamily="34" charset="0"/>
                </a:rPr>
                <a:t>BDI</a:t>
              </a:r>
              <a14:m>
                <m:oMath xmlns:m="http://schemas.openxmlformats.org/officeDocument/2006/math">
                  <m:r>
                    <a:rPr lang="pt-BR" sz="1800" i="0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pt-BR" sz="18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t-BR" sz="1800" b="0" i="0">
                          <a:latin typeface="Cambria Math" panose="02040503050406030204" pitchFamily="18" charset="0"/>
                        </a:rPr>
                        <m:t>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AC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R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S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G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DF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L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</m:t>
                      </m:r>
                    </m:num>
                    <m:den>
                      <m:r>
                        <a:rPr lang="pt-BR" sz="1800" b="0" i="0">
                          <a:latin typeface="Cambria Math" panose="02040503050406030204" pitchFamily="18" charset="0"/>
                        </a:rPr>
                        <m:t>(1−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I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</m:t>
                      </m:r>
                    </m:den>
                  </m:f>
                  <m:r>
                    <a:rPr lang="pt-BR" sz="1800" b="0" i="0">
                      <a:latin typeface="Cambria Math" panose="02040503050406030204" pitchFamily="18" charset="0"/>
                    </a:rPr>
                    <m:t>−1</m:t>
                  </m:r>
                </m:oMath>
              </a14:m>
              <a:endParaRPr lang="pt-BR" sz="18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775934" y="5816600"/>
              <a:ext cx="3345468" cy="4412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800" i="0">
                  <a:latin typeface="Arial" panose="020B0604020202020204" pitchFamily="34" charset="0"/>
                  <a:cs typeface="Arial" panose="020B0604020202020204" pitchFamily="34" charset="0"/>
                </a:rPr>
                <a:t>BDI</a:t>
              </a:r>
              <a:r>
                <a:rPr lang="pt-BR" sz="1800" i="0">
                  <a:latin typeface="Cambria Math" panose="02040503050406030204" pitchFamily="18" charset="0"/>
                </a:rPr>
                <a:t>=(</a:t>
              </a:r>
              <a:r>
                <a:rPr lang="pt-BR" sz="1800" b="0" i="0">
                  <a:latin typeface="Cambria Math" panose="02040503050406030204" pitchFamily="18" charset="0"/>
                </a:rPr>
                <a:t>(1+AC+R+S+G)(1+DF)(1+L))/((1−I))−1</a:t>
              </a:r>
              <a:endParaRPr lang="pt-BR" sz="18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twoCellAnchor editAs="oneCell">
    <xdr:from>
      <xdr:col>4</xdr:col>
      <xdr:colOff>1006929</xdr:colOff>
      <xdr:row>0</xdr:row>
      <xdr:rowOff>136071</xdr:rowOff>
    </xdr:from>
    <xdr:to>
      <xdr:col>6</xdr:col>
      <xdr:colOff>1051723</xdr:colOff>
      <xdr:row>3</xdr:row>
      <xdr:rowOff>186870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429" y="136071"/>
          <a:ext cx="1908973" cy="6222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130176</xdr:rowOff>
    </xdr:from>
    <xdr:to>
      <xdr:col>2</xdr:col>
      <xdr:colOff>999570</xdr:colOff>
      <xdr:row>4</xdr:row>
      <xdr:rowOff>46613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20676"/>
          <a:ext cx="1409145" cy="4593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5%20N&#218;CLEO%20AVAN&#199;ADO%20DE%20CAPACITA&#199;&#195;O/APIAC&#193;S/004%20-%20PLANILHA%20DE%20MEDI&#199;&#195;O/Planilha%20Or&#231;amentaria%20Apiacas%20REV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5%20N&#218;CLEO%20AVAN&#199;ADO%20DE%20CAPACITA&#199;&#195;O/NOVA%20CANA&#195;%20DO%20NORTE/004%20-%20PLANILHAS/NAC%20-%20PLANILHA%20OR&#199;AMENT&#193;R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05%20N&#218;CLEO%20AVAN&#199;ADO%20DE%20CAPACITA&#199;&#195;O/NOVA%20CANA&#195;%20DO%20NORTE/004%20-%20PLANILHAS/PLanilha%20Proj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 Referência"/>
      <sheetName val="Composição"/>
      <sheetName val="COTAÇÃO"/>
      <sheetName val="Muro+Gradil"/>
      <sheetName val="Pilares"/>
      <sheetName val="Vigas Cobertura"/>
      <sheetName val="Vigas Cinta"/>
      <sheetName val="Total Aço"/>
      <sheetName val="Concreto e Forma"/>
      <sheetName val="Chapisco-laje-reboco-piso"/>
      <sheetName val="Portas e Janelas"/>
      <sheetName val="Granito"/>
      <sheetName val="Alvenaria"/>
      <sheetName val="Placa da Obra"/>
      <sheetName val="Cobertura"/>
      <sheetName val="spda"/>
    </sheetNames>
    <sheetDataSet>
      <sheetData sheetId="0"/>
      <sheetData sheetId="1">
        <row r="189">
          <cell r="C189" t="str">
            <v>M²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ORÇAMENTO"/>
      <sheetName val="COMPOSIÇÕES"/>
      <sheetName val="MEMORIAL CALC."/>
      <sheetName val="CRONOGRAMA"/>
      <sheetName val="BDI"/>
      <sheetName val="SOLUM"/>
    </sheetNames>
    <sheetDataSet>
      <sheetData sheetId="0">
        <row r="6">
          <cell r="B6" t="str">
            <v>OBRA DO SENAR NOVA CANAÃ DO NORTE</v>
          </cell>
        </row>
        <row r="8">
          <cell r="C8" t="str">
            <v>BDI:</v>
          </cell>
        </row>
      </sheetData>
      <sheetData sheetId="1">
        <row r="11">
          <cell r="A11" t="str">
            <v>1.0</v>
          </cell>
        </row>
      </sheetData>
      <sheetData sheetId="2"/>
      <sheetData sheetId="3"/>
      <sheetData sheetId="4"/>
      <sheetData sheetId="5">
        <row r="25">
          <cell r="G25">
            <v>28.347674918197008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ORÇAMENTO"/>
      <sheetName val="COMPOSIÇÕES"/>
      <sheetName val="MEMORIAL CALC."/>
      <sheetName val="CRONOGRAMA"/>
      <sheetName val="BDI"/>
      <sheetName val="SOLUM"/>
    </sheetNames>
    <sheetDataSet>
      <sheetData sheetId="0">
        <row r="6">
          <cell r="B6" t="str">
            <v>OBRA DO SENAR NOVA CANAÃ DO NORTE</v>
          </cell>
          <cell r="C6" t="str">
            <v>REF.:</v>
          </cell>
        </row>
        <row r="8">
          <cell r="C8" t="str">
            <v>BDI: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ables/table1.xml><?xml version="1.0" encoding="utf-8"?>
<table xmlns="http://schemas.openxmlformats.org/spreadsheetml/2006/main" id="1" name="Tabela1" displayName="Tabela1" ref="B7:K60" totalsRowShown="0" headerRowDxfId="13" headerRowBorderDxfId="12" tableBorderDxfId="11" totalsRowBorderDxfId="10">
  <autoFilter ref="B7:K60"/>
  <sortState ref="B8:K60">
    <sortCondition descending="1" ref="J7:J60"/>
  </sortState>
  <tableColumns count="10">
    <tableColumn id="1" name="Item" dataDxfId="9"/>
    <tableColumn id="2" name="Código SINAPI" dataDxfId="8"/>
    <tableColumn id="3" name="Descrição" dataDxfId="7"/>
    <tableColumn id="4" name="Und." dataDxfId="6"/>
    <tableColumn id="5" name="Quant." dataDxfId="5"/>
    <tableColumn id="6" name="Valor Unit." dataDxfId="4" dataCellStyle="Moeda"/>
    <tableColumn id="7" name="Valor Unitário C/ BDI 28,35%" dataDxfId="3">
      <calculatedColumnFormula>TRUNC(G8*1.2835,2)</calculatedColumnFormula>
    </tableColumn>
    <tableColumn id="8" name="Valor Total" dataDxfId="2" dataCellStyle="Moeda">
      <calculatedColumnFormula>TRUNC(H8*F8,2)</calculatedColumnFormula>
    </tableColumn>
    <tableColumn id="9" name="PESO (%)" dataDxfId="1" dataCellStyle="Porcentagem">
      <calculatedColumnFormula>I8/RESUMO!$D$19</calculatedColumnFormula>
    </tableColumn>
    <tableColumn id="10" name="Peso Acumulado (%)" dataDxfId="0">
      <calculatedColumnFormula>IFERROR(Tabela1[[#This Row],[PESO (%)]]+J7,Tabela1[[#This Row],[PESO (%)]])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22"/>
  <sheetViews>
    <sheetView view="pageBreakPreview" zoomScale="115" zoomScaleNormal="115" zoomScaleSheetLayoutView="115" workbookViewId="0">
      <selection activeCell="C17" sqref="C17"/>
    </sheetView>
  </sheetViews>
  <sheetFormatPr defaultColWidth="9.140625" defaultRowHeight="14.25" x14ac:dyDescent="0.2"/>
  <cols>
    <col min="1" max="1" width="4.85546875" style="43" customWidth="1"/>
    <col min="2" max="2" width="19.7109375" style="99" customWidth="1"/>
    <col min="3" max="3" width="99.28515625" style="45" customWidth="1"/>
    <col min="4" max="4" width="25.5703125" style="47" customWidth="1"/>
    <col min="5" max="5" width="1.140625" style="43" customWidth="1"/>
    <col min="6" max="6" width="21.85546875" style="44" customWidth="1"/>
    <col min="7" max="7" width="16.140625" style="44" bestFit="1" customWidth="1"/>
    <col min="8" max="16384" width="9.140625" style="44"/>
  </cols>
  <sheetData>
    <row r="1" spans="1:29" ht="15" thickBot="1" x14ac:dyDescent="0.25"/>
    <row r="2" spans="1:29" ht="38.25" customHeight="1" x14ac:dyDescent="0.2">
      <c r="B2" s="259"/>
      <c r="C2" s="260" t="s">
        <v>218</v>
      </c>
      <c r="D2" s="322" t="s">
        <v>14</v>
      </c>
      <c r="E2" s="316"/>
    </row>
    <row r="3" spans="1:29" ht="23.25" customHeight="1" x14ac:dyDescent="0.2">
      <c r="B3" s="261"/>
      <c r="C3" s="258" t="s">
        <v>220</v>
      </c>
      <c r="D3" s="323"/>
      <c r="E3" s="316"/>
    </row>
    <row r="4" spans="1:29" ht="15" customHeight="1" x14ac:dyDescent="0.2">
      <c r="B4" s="262"/>
      <c r="C4" s="257"/>
      <c r="D4" s="263" t="s">
        <v>236</v>
      </c>
      <c r="E4" s="256">
        <v>0.24510000000000001</v>
      </c>
    </row>
    <row r="5" spans="1:29" x14ac:dyDescent="0.2">
      <c r="B5" s="264" t="s">
        <v>145</v>
      </c>
      <c r="C5" s="319" t="s">
        <v>219</v>
      </c>
      <c r="D5" s="320"/>
      <c r="E5" s="255"/>
      <c r="F5" s="255"/>
      <c r="G5" s="255"/>
    </row>
    <row r="6" spans="1:29" x14ac:dyDescent="0.2">
      <c r="B6" s="189" t="s">
        <v>146</v>
      </c>
      <c r="C6" s="321" t="s">
        <v>215</v>
      </c>
      <c r="D6" s="320"/>
      <c r="E6" s="255"/>
      <c r="F6" s="255"/>
      <c r="G6" s="255"/>
    </row>
    <row r="7" spans="1:29" x14ac:dyDescent="0.2">
      <c r="B7" s="189" t="s">
        <v>147</v>
      </c>
      <c r="C7" s="321" t="s">
        <v>216</v>
      </c>
      <c r="D7" s="320"/>
      <c r="E7" s="255"/>
      <c r="F7" s="255"/>
      <c r="G7" s="255"/>
    </row>
    <row r="8" spans="1:29" x14ac:dyDescent="0.2">
      <c r="B8" s="189" t="s">
        <v>148</v>
      </c>
      <c r="C8" s="321" t="s">
        <v>223</v>
      </c>
      <c r="D8" s="320"/>
      <c r="E8" s="255"/>
      <c r="F8" s="255"/>
      <c r="G8" s="255"/>
    </row>
    <row r="9" spans="1:29" ht="19.5" customHeight="1" x14ac:dyDescent="0.2">
      <c r="B9" s="265"/>
      <c r="C9" s="266"/>
      <c r="D9" s="267"/>
    </row>
    <row r="10" spans="1:29" ht="45.75" customHeight="1" x14ac:dyDescent="0.2">
      <c r="B10" s="268" t="s">
        <v>2</v>
      </c>
      <c r="C10" s="254" t="s">
        <v>3</v>
      </c>
      <c r="D10" s="269" t="s">
        <v>5</v>
      </c>
      <c r="E10" s="56"/>
    </row>
    <row r="11" spans="1:29" ht="22.5" customHeight="1" x14ac:dyDescent="0.25">
      <c r="B11" s="270">
        <v>1</v>
      </c>
      <c r="C11" s="252" t="s">
        <v>27</v>
      </c>
      <c r="D11" s="271">
        <f>'P. Referência'!I11</f>
        <v>4482.5599999999995</v>
      </c>
    </row>
    <row r="12" spans="1:29" ht="22.5" customHeight="1" x14ac:dyDescent="0.25">
      <c r="A12" s="44"/>
      <c r="B12" s="270">
        <v>2</v>
      </c>
      <c r="C12" s="251" t="s">
        <v>60</v>
      </c>
      <c r="D12" s="271">
        <f>'P. Referência'!I17</f>
        <v>1919.02</v>
      </c>
      <c r="E12" s="44"/>
    </row>
    <row r="13" spans="1:29" ht="22.5" customHeight="1" x14ac:dyDescent="0.25">
      <c r="B13" s="270">
        <v>3</v>
      </c>
      <c r="C13" s="252" t="s">
        <v>40</v>
      </c>
      <c r="D13" s="271">
        <f>'P. Referência'!I22</f>
        <v>1100.54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</row>
    <row r="14" spans="1:29" s="71" customFormat="1" ht="22.5" customHeight="1" x14ac:dyDescent="0.25">
      <c r="A14" s="43"/>
      <c r="B14" s="270">
        <v>4</v>
      </c>
      <c r="C14" s="252" t="s">
        <v>185</v>
      </c>
      <c r="D14" s="271">
        <f>'P. Referência'!I36</f>
        <v>99788.36</v>
      </c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</row>
    <row r="15" spans="1:29" ht="22.5" customHeight="1" x14ac:dyDescent="0.25">
      <c r="B15" s="270">
        <v>5</v>
      </c>
      <c r="C15" s="253" t="s">
        <v>123</v>
      </c>
      <c r="D15" s="271">
        <f>'P. Referência'!I50</f>
        <v>42273.27</v>
      </c>
    </row>
    <row r="16" spans="1:29" s="194" customFormat="1" ht="22.5" customHeight="1" x14ac:dyDescent="0.25">
      <c r="B16" s="270">
        <v>6</v>
      </c>
      <c r="C16" s="253" t="s">
        <v>135</v>
      </c>
      <c r="D16" s="271">
        <f>'P. Referência'!I61</f>
        <v>1479.27</v>
      </c>
    </row>
    <row r="17" spans="1:7" s="194" customFormat="1" ht="22.5" customHeight="1" x14ac:dyDescent="0.25">
      <c r="B17" s="270">
        <v>7</v>
      </c>
      <c r="C17" s="253" t="s">
        <v>230</v>
      </c>
      <c r="D17" s="271">
        <f>'P. Referência'!I76</f>
        <v>8143.65</v>
      </c>
    </row>
    <row r="18" spans="1:7" s="217" customFormat="1" ht="22.5" customHeight="1" x14ac:dyDescent="0.25">
      <c r="A18" s="194"/>
      <c r="B18" s="270">
        <v>8</v>
      </c>
      <c r="C18" s="253" t="s">
        <v>69</v>
      </c>
      <c r="D18" s="271">
        <f>'P. Referência'!I83</f>
        <v>1988.92</v>
      </c>
      <c r="E18" s="194"/>
      <c r="G18" s="247">
        <f>SUM(D11:D18)</f>
        <v>161175.59</v>
      </c>
    </row>
    <row r="19" spans="1:7" ht="29.25" customHeight="1" thickBot="1" x14ac:dyDescent="0.25">
      <c r="B19" s="317" t="s">
        <v>217</v>
      </c>
      <c r="C19" s="318"/>
      <c r="D19" s="272">
        <f>SUM(D11:D18)</f>
        <v>161175.59</v>
      </c>
      <c r="F19" s="47"/>
    </row>
    <row r="22" spans="1:7" x14ac:dyDescent="0.2">
      <c r="D22" s="77"/>
    </row>
  </sheetData>
  <mergeCells count="7">
    <mergeCell ref="E2:E3"/>
    <mergeCell ref="B19:C19"/>
    <mergeCell ref="C5:D5"/>
    <mergeCell ref="C6:D6"/>
    <mergeCell ref="C7:D7"/>
    <mergeCell ref="C8:D8"/>
    <mergeCell ref="D2:D3"/>
  </mergeCells>
  <printOptions horizontalCentered="1" verticalCentered="1"/>
  <pageMargins left="0.25" right="0.25" top="0.75" bottom="0.75" header="0.3" footer="0.3"/>
  <pageSetup paperSize="9" scale="98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H90"/>
  <sheetViews>
    <sheetView topLeftCell="A52" zoomScaleNormal="100" workbookViewId="0">
      <selection activeCell="I11" sqref="I11"/>
    </sheetView>
  </sheetViews>
  <sheetFormatPr defaultColWidth="9.140625" defaultRowHeight="14.25" x14ac:dyDescent="0.2"/>
  <cols>
    <col min="1" max="1" width="4.85546875" style="43" customWidth="1"/>
    <col min="2" max="2" width="7.140625" style="99" customWidth="1"/>
    <col min="3" max="3" width="19.140625" style="44" customWidth="1"/>
    <col min="4" max="4" width="88.85546875" style="45" customWidth="1"/>
    <col min="5" max="5" width="5.7109375" style="44" customWidth="1"/>
    <col min="6" max="6" width="10.85546875" style="44" customWidth="1"/>
    <col min="7" max="7" width="20.140625" style="46" bestFit="1" customWidth="1"/>
    <col min="8" max="8" width="16.7109375" style="47" customWidth="1"/>
    <col min="9" max="9" width="25.5703125" style="47" customWidth="1"/>
    <col min="10" max="10" width="1.140625" style="43" customWidth="1"/>
    <col min="11" max="11" width="21.85546875" style="44" customWidth="1"/>
    <col min="12" max="16384" width="9.140625" style="44"/>
  </cols>
  <sheetData>
    <row r="1" spans="1:34" ht="15" thickBot="1" x14ac:dyDescent="0.25"/>
    <row r="2" spans="1:34" ht="27" customHeight="1" x14ac:dyDescent="0.2">
      <c r="B2" s="332" t="s">
        <v>221</v>
      </c>
      <c r="C2" s="333"/>
      <c r="D2" s="333"/>
      <c r="E2" s="333"/>
      <c r="F2" s="333"/>
      <c r="G2" s="333"/>
      <c r="H2" s="334"/>
      <c r="I2" s="327" t="s">
        <v>14</v>
      </c>
      <c r="J2" s="329"/>
    </row>
    <row r="3" spans="1:34" ht="27" customHeight="1" thickBot="1" x14ac:dyDescent="0.25">
      <c r="B3" s="335"/>
      <c r="C3" s="336"/>
      <c r="D3" s="336"/>
      <c r="E3" s="336"/>
      <c r="F3" s="336"/>
      <c r="G3" s="336"/>
      <c r="H3" s="337"/>
      <c r="I3" s="328"/>
      <c r="J3" s="329"/>
    </row>
    <row r="4" spans="1:34" ht="15" customHeight="1" x14ac:dyDescent="0.2">
      <c r="B4" s="335"/>
      <c r="C4" s="336"/>
      <c r="D4" s="336"/>
      <c r="E4" s="336"/>
      <c r="F4" s="336"/>
      <c r="G4" s="336"/>
      <c r="H4" s="337"/>
      <c r="I4" s="330" t="s">
        <v>236</v>
      </c>
      <c r="J4" s="48">
        <v>0.24510000000000001</v>
      </c>
    </row>
    <row r="5" spans="1:34" ht="33" customHeight="1" thickBot="1" x14ac:dyDescent="0.25">
      <c r="B5" s="338"/>
      <c r="C5" s="339"/>
      <c r="D5" s="339"/>
      <c r="E5" s="339"/>
      <c r="F5" s="339"/>
      <c r="G5" s="339"/>
      <c r="H5" s="340"/>
      <c r="I5" s="331"/>
      <c r="J5" s="49"/>
    </row>
    <row r="6" spans="1:34" ht="6" customHeight="1" thickBot="1" x14ac:dyDescent="0.25">
      <c r="B6" s="221"/>
      <c r="C6" s="194"/>
      <c r="D6" s="222"/>
      <c r="E6" s="87"/>
      <c r="F6" s="87"/>
      <c r="G6" s="223"/>
      <c r="H6" s="224"/>
      <c r="I6" s="224"/>
    </row>
    <row r="7" spans="1:34" ht="45.75" customHeight="1" thickBot="1" x14ac:dyDescent="0.25">
      <c r="B7" s="50" t="s">
        <v>2</v>
      </c>
      <c r="C7" s="50" t="s">
        <v>8</v>
      </c>
      <c r="D7" s="51" t="s">
        <v>3</v>
      </c>
      <c r="E7" s="52" t="s">
        <v>4</v>
      </c>
      <c r="F7" s="52" t="s">
        <v>28</v>
      </c>
      <c r="G7" s="53" t="s">
        <v>30</v>
      </c>
      <c r="H7" s="54" t="s">
        <v>89</v>
      </c>
      <c r="I7" s="55" t="s">
        <v>5</v>
      </c>
      <c r="J7" s="56"/>
    </row>
    <row r="8" spans="1:34" ht="15" x14ac:dyDescent="0.25">
      <c r="B8" s="57">
        <v>1</v>
      </c>
      <c r="C8" s="58"/>
      <c r="D8" s="59" t="s">
        <v>27</v>
      </c>
      <c r="E8" s="60"/>
      <c r="F8" s="60"/>
      <c r="G8" s="61"/>
      <c r="H8" s="62"/>
      <c r="I8" s="63"/>
    </row>
    <row r="9" spans="1:34" s="43" customFormat="1" ht="16.5" customHeight="1" x14ac:dyDescent="0.2">
      <c r="B9" s="64" t="s">
        <v>81</v>
      </c>
      <c r="C9" s="64">
        <v>90777</v>
      </c>
      <c r="D9" s="79" t="s">
        <v>104</v>
      </c>
      <c r="E9" s="64" t="s">
        <v>20</v>
      </c>
      <c r="F9" s="65">
        <f>2*2*4</f>
        <v>16</v>
      </c>
      <c r="G9" s="80">
        <v>93.77</v>
      </c>
      <c r="H9" s="66">
        <f>TRUNC(G9*1.2835,2)</f>
        <v>120.35</v>
      </c>
      <c r="I9" s="80">
        <f>TRUNC(H9*F9,2)</f>
        <v>1925.6</v>
      </c>
      <c r="K9" s="294"/>
    </row>
    <row r="10" spans="1:34" s="43" customFormat="1" ht="16.5" customHeight="1" x14ac:dyDescent="0.2">
      <c r="B10" s="64" t="s">
        <v>32</v>
      </c>
      <c r="C10" s="100">
        <v>90776</v>
      </c>
      <c r="D10" s="81" t="s">
        <v>29</v>
      </c>
      <c r="E10" s="64" t="s">
        <v>20</v>
      </c>
      <c r="F10" s="65">
        <v>84</v>
      </c>
      <c r="G10" s="80">
        <v>23.72</v>
      </c>
      <c r="H10" s="66">
        <f>TRUNC(G10*1.2835,2)</f>
        <v>30.44</v>
      </c>
      <c r="I10" s="80">
        <f>TRUNC(H10*F10,2)</f>
        <v>2556.96</v>
      </c>
      <c r="K10" s="294"/>
    </row>
    <row r="11" spans="1:34" s="71" customFormat="1" ht="15" x14ac:dyDescent="0.2">
      <c r="A11" s="43"/>
      <c r="B11" s="67"/>
      <c r="C11" s="88"/>
      <c r="D11" s="89"/>
      <c r="E11" s="90"/>
      <c r="F11" s="68"/>
      <c r="G11" s="69" t="s">
        <v>1</v>
      </c>
      <c r="H11" s="70"/>
      <c r="I11" s="70">
        <f>SUM(I9:I10)</f>
        <v>4482.5599999999995</v>
      </c>
      <c r="J11" s="43"/>
      <c r="K11" s="294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</row>
    <row r="12" spans="1:34" s="43" customFormat="1" ht="15" x14ac:dyDescent="0.2">
      <c r="B12" s="64"/>
      <c r="C12" s="225"/>
      <c r="D12" s="226"/>
      <c r="E12" s="227"/>
      <c r="F12" s="228"/>
      <c r="G12" s="229"/>
      <c r="H12" s="230"/>
      <c r="I12" s="230"/>
      <c r="K12" s="294"/>
    </row>
    <row r="13" spans="1:34" ht="15" x14ac:dyDescent="0.25">
      <c r="A13" s="44"/>
      <c r="B13" s="72">
        <v>2</v>
      </c>
      <c r="C13" s="73"/>
      <c r="D13" s="74" t="s">
        <v>60</v>
      </c>
      <c r="E13" s="75"/>
      <c r="F13" s="73"/>
      <c r="G13" s="76"/>
      <c r="H13" s="76"/>
      <c r="I13" s="76"/>
      <c r="J13" s="44"/>
      <c r="K13" s="294"/>
    </row>
    <row r="14" spans="1:34" s="43" customFormat="1" ht="17.25" customHeight="1" x14ac:dyDescent="0.2">
      <c r="B14" s="64" t="s">
        <v>33</v>
      </c>
      <c r="C14" s="64" t="s">
        <v>10</v>
      </c>
      <c r="D14" s="82" t="s">
        <v>48</v>
      </c>
      <c r="E14" s="83" t="s">
        <v>21</v>
      </c>
      <c r="F14" s="84">
        <v>1</v>
      </c>
      <c r="G14" s="80">
        <f>Composições!F2</f>
        <v>488.28999999999996</v>
      </c>
      <c r="H14" s="66">
        <f>TRUNC(G14*1.2835,2)</f>
        <v>626.72</v>
      </c>
      <c r="I14" s="80">
        <f>TRUNC(H14*F14,2)</f>
        <v>626.72</v>
      </c>
      <c r="K14" s="294"/>
    </row>
    <row r="15" spans="1:34" s="43" customFormat="1" ht="28.5" x14ac:dyDescent="0.2">
      <c r="B15" s="64" t="s">
        <v>45</v>
      </c>
      <c r="C15" s="64" t="s">
        <v>11</v>
      </c>
      <c r="D15" s="82" t="s">
        <v>49</v>
      </c>
      <c r="E15" s="64" t="s">
        <v>0</v>
      </c>
      <c r="F15" s="84">
        <v>1</v>
      </c>
      <c r="G15" s="80">
        <f>Composições!F6</f>
        <v>306.87</v>
      </c>
      <c r="H15" s="66">
        <f>TRUNC(G15*1.2835,2)</f>
        <v>393.86</v>
      </c>
      <c r="I15" s="80">
        <f>TRUNC(H15*F15,2)</f>
        <v>393.86</v>
      </c>
      <c r="K15" s="294"/>
    </row>
    <row r="16" spans="1:34" s="43" customFormat="1" ht="15" customHeight="1" x14ac:dyDescent="0.2">
      <c r="B16" s="64" t="s">
        <v>71</v>
      </c>
      <c r="C16" s="64" t="s">
        <v>46</v>
      </c>
      <c r="D16" s="82" t="s">
        <v>47</v>
      </c>
      <c r="E16" s="64" t="s">
        <v>21</v>
      </c>
      <c r="F16" s="84">
        <v>2</v>
      </c>
      <c r="G16" s="80">
        <v>350</v>
      </c>
      <c r="H16" s="66">
        <f>TRUNC(G16*1.2835,2)</f>
        <v>449.22</v>
      </c>
      <c r="I16" s="80">
        <f>TRUNC(H16*F16,2)</f>
        <v>898.44</v>
      </c>
      <c r="K16" s="294"/>
    </row>
    <row r="17" spans="1:34" ht="15" customHeight="1" x14ac:dyDescent="0.2">
      <c r="A17" s="44"/>
      <c r="B17" s="67"/>
      <c r="C17" s="91"/>
      <c r="D17" s="92"/>
      <c r="E17" s="90"/>
      <c r="F17" s="93"/>
      <c r="G17" s="69" t="s">
        <v>1</v>
      </c>
      <c r="H17" s="94"/>
      <c r="I17" s="70">
        <f>SUM(I14:I16)</f>
        <v>1919.02</v>
      </c>
      <c r="J17" s="44"/>
      <c r="K17" s="294"/>
    </row>
    <row r="18" spans="1:34" ht="15" customHeight="1" x14ac:dyDescent="0.2">
      <c r="A18" s="44"/>
      <c r="B18" s="231"/>
      <c r="C18" s="232"/>
      <c r="D18" s="233"/>
      <c r="E18" s="234"/>
      <c r="F18" s="235"/>
      <c r="G18" s="236"/>
      <c r="H18" s="237"/>
      <c r="I18" s="191"/>
      <c r="J18" s="44"/>
      <c r="K18" s="294"/>
    </row>
    <row r="19" spans="1:34" ht="15" x14ac:dyDescent="0.25">
      <c r="B19" s="57">
        <v>3</v>
      </c>
      <c r="C19" s="58"/>
      <c r="D19" s="59" t="s">
        <v>40</v>
      </c>
      <c r="E19" s="60"/>
      <c r="F19" s="60"/>
      <c r="G19" s="61"/>
      <c r="H19" s="62"/>
      <c r="I19" s="63"/>
      <c r="K19" s="294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</row>
    <row r="20" spans="1:34" s="43" customFormat="1" x14ac:dyDescent="0.2">
      <c r="B20" s="64" t="s">
        <v>34</v>
      </c>
      <c r="C20" s="64" t="s">
        <v>61</v>
      </c>
      <c r="D20" s="86" t="s">
        <v>41</v>
      </c>
      <c r="E20" s="64" t="s">
        <v>21</v>
      </c>
      <c r="F20" s="65">
        <v>1</v>
      </c>
      <c r="G20" s="80">
        <f>Composições!F13</f>
        <v>428.73</v>
      </c>
      <c r="H20" s="66">
        <f>TRUNC(G20*1.2835,2)</f>
        <v>550.27</v>
      </c>
      <c r="I20" s="80">
        <f>TRUNC(H20*F20,2)</f>
        <v>550.27</v>
      </c>
      <c r="K20" s="294"/>
    </row>
    <row r="21" spans="1:34" s="43" customFormat="1" x14ac:dyDescent="0.2">
      <c r="B21" s="64" t="s">
        <v>31</v>
      </c>
      <c r="C21" s="87" t="s">
        <v>13</v>
      </c>
      <c r="D21" s="86" t="s">
        <v>44</v>
      </c>
      <c r="E21" s="64" t="s">
        <v>21</v>
      </c>
      <c r="F21" s="65">
        <v>1</v>
      </c>
      <c r="G21" s="80">
        <f>Composições!F17</f>
        <v>428.73</v>
      </c>
      <c r="H21" s="66">
        <f>TRUNC(G21*1.2835,2)</f>
        <v>550.27</v>
      </c>
      <c r="I21" s="80">
        <f>TRUNC(H21*F21,2)</f>
        <v>550.27</v>
      </c>
      <c r="K21" s="294"/>
    </row>
    <row r="22" spans="1:34" s="71" customFormat="1" ht="15" x14ac:dyDescent="0.2">
      <c r="A22" s="43"/>
      <c r="B22" s="67"/>
      <c r="C22" s="88"/>
      <c r="D22" s="95"/>
      <c r="E22" s="96"/>
      <c r="F22" s="97"/>
      <c r="G22" s="85" t="s">
        <v>1</v>
      </c>
      <c r="H22" s="98"/>
      <c r="I22" s="70">
        <f>SUM(I20:I21)</f>
        <v>1100.54</v>
      </c>
      <c r="J22" s="43"/>
      <c r="K22" s="294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</row>
    <row r="23" spans="1:34" s="71" customFormat="1" ht="15" customHeight="1" x14ac:dyDescent="0.2">
      <c r="A23" s="43"/>
      <c r="B23" s="324"/>
      <c r="C23" s="325"/>
      <c r="D23" s="325"/>
      <c r="E23" s="325"/>
      <c r="F23" s="325"/>
      <c r="G23" s="325"/>
      <c r="H23" s="325"/>
      <c r="I23" s="326"/>
      <c r="J23" s="43"/>
      <c r="K23" s="294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</row>
    <row r="24" spans="1:34" s="71" customFormat="1" ht="15" customHeight="1" x14ac:dyDescent="0.25">
      <c r="A24" s="43"/>
      <c r="B24" s="57">
        <v>4</v>
      </c>
      <c r="C24" s="58"/>
      <c r="D24" s="59" t="s">
        <v>185</v>
      </c>
      <c r="E24" s="60"/>
      <c r="F24" s="60"/>
      <c r="G24" s="61"/>
      <c r="H24" s="62"/>
      <c r="I24" s="63"/>
      <c r="J24" s="43"/>
      <c r="K24" s="294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</row>
    <row r="25" spans="1:34" s="71" customFormat="1" ht="28.5" x14ac:dyDescent="0.2">
      <c r="A25" s="43"/>
      <c r="B25" s="64" t="s">
        <v>35</v>
      </c>
      <c r="C25" s="64">
        <v>97622</v>
      </c>
      <c r="D25" s="86" t="s">
        <v>187</v>
      </c>
      <c r="E25" s="64" t="s">
        <v>186</v>
      </c>
      <c r="F25" s="65">
        <f>2*5</f>
        <v>10</v>
      </c>
      <c r="G25" s="80">
        <v>43.86</v>
      </c>
      <c r="H25" s="66">
        <f t="shared" ref="H25:H35" si="0">TRUNC(G25*1.2835,2)</f>
        <v>56.29</v>
      </c>
      <c r="I25" s="80">
        <f t="shared" ref="I25:I35" si="1">TRUNC(H25*F25,2)</f>
        <v>562.9</v>
      </c>
      <c r="J25" s="43"/>
      <c r="K25" s="294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</row>
    <row r="26" spans="1:34" s="71" customFormat="1" ht="71.25" x14ac:dyDescent="0.2">
      <c r="A26" s="43"/>
      <c r="B26" s="64" t="s">
        <v>62</v>
      </c>
      <c r="C26" s="64">
        <v>89309</v>
      </c>
      <c r="D26" s="86" t="s">
        <v>252</v>
      </c>
      <c r="E26" s="64" t="s">
        <v>0</v>
      </c>
      <c r="F26" s="65">
        <f>25*2</f>
        <v>50</v>
      </c>
      <c r="G26" s="80">
        <v>90.81</v>
      </c>
      <c r="H26" s="66">
        <f t="shared" si="0"/>
        <v>116.55</v>
      </c>
      <c r="I26" s="80">
        <f t="shared" si="1"/>
        <v>5827.5</v>
      </c>
      <c r="J26" s="43"/>
      <c r="K26" s="294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</row>
    <row r="27" spans="1:34" s="71" customFormat="1" ht="28.5" x14ac:dyDescent="0.2">
      <c r="A27" s="43"/>
      <c r="B27" s="64" t="s">
        <v>95</v>
      </c>
      <c r="C27" s="64">
        <v>93358</v>
      </c>
      <c r="D27" s="86" t="s">
        <v>190</v>
      </c>
      <c r="E27" s="64" t="s">
        <v>186</v>
      </c>
      <c r="F27" s="65">
        <f>(25/2.5)*(1.3*0.2*0.2)</f>
        <v>0.52</v>
      </c>
      <c r="G27" s="80">
        <v>66.569999999999993</v>
      </c>
      <c r="H27" s="66">
        <f t="shared" si="0"/>
        <v>85.44</v>
      </c>
      <c r="I27" s="80">
        <f t="shared" si="1"/>
        <v>44.42</v>
      </c>
      <c r="J27" s="43"/>
      <c r="K27" s="294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</row>
    <row r="28" spans="1:34" s="71" customFormat="1" ht="15" customHeight="1" x14ac:dyDescent="0.2">
      <c r="A28" s="43"/>
      <c r="B28" s="64" t="s">
        <v>72</v>
      </c>
      <c r="C28" s="64">
        <v>96995</v>
      </c>
      <c r="D28" s="86" t="s">
        <v>191</v>
      </c>
      <c r="E28" s="64" t="s">
        <v>186</v>
      </c>
      <c r="F28" s="65">
        <f>(25/2.5)*(0.5*0.2*0.2)</f>
        <v>0.20000000000000004</v>
      </c>
      <c r="G28" s="80">
        <v>40.36</v>
      </c>
      <c r="H28" s="66">
        <f t="shared" si="0"/>
        <v>51.8</v>
      </c>
      <c r="I28" s="80">
        <f t="shared" si="1"/>
        <v>10.36</v>
      </c>
      <c r="J28" s="43"/>
      <c r="K28" s="294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</row>
    <row r="29" spans="1:34" s="71" customFormat="1" ht="42.75" x14ac:dyDescent="0.2">
      <c r="A29" s="43"/>
      <c r="B29" s="64" t="s">
        <v>73</v>
      </c>
      <c r="C29" s="64">
        <v>92419</v>
      </c>
      <c r="D29" s="86" t="s">
        <v>192</v>
      </c>
      <c r="E29" s="64" t="s">
        <v>0</v>
      </c>
      <c r="F29" s="65">
        <f>10*((0.2+0.2+0.2+0.2)*3)</f>
        <v>24.000000000000004</v>
      </c>
      <c r="G29" s="80">
        <v>83.85</v>
      </c>
      <c r="H29" s="66">
        <f t="shared" si="0"/>
        <v>107.62</v>
      </c>
      <c r="I29" s="80">
        <f t="shared" si="1"/>
        <v>2582.88</v>
      </c>
      <c r="J29" s="43"/>
      <c r="K29" s="294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</row>
    <row r="30" spans="1:34" s="71" customFormat="1" ht="57" x14ac:dyDescent="0.2">
      <c r="A30" s="43"/>
      <c r="B30" s="64" t="s">
        <v>74</v>
      </c>
      <c r="C30" s="64">
        <v>92777</v>
      </c>
      <c r="D30" s="86" t="s">
        <v>194</v>
      </c>
      <c r="E30" s="64" t="s">
        <v>193</v>
      </c>
      <c r="F30" s="65">
        <f>10*(4*3*0.4)</f>
        <v>48.000000000000007</v>
      </c>
      <c r="G30" s="80">
        <v>16.52</v>
      </c>
      <c r="H30" s="66">
        <f t="shared" si="0"/>
        <v>21.2</v>
      </c>
      <c r="I30" s="80">
        <f t="shared" si="1"/>
        <v>1017.6</v>
      </c>
      <c r="J30" s="43"/>
      <c r="K30" s="294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</row>
    <row r="31" spans="1:34" s="71" customFormat="1" ht="42.75" x14ac:dyDescent="0.2">
      <c r="A31" s="43"/>
      <c r="B31" s="64" t="s">
        <v>93</v>
      </c>
      <c r="C31" s="64">
        <v>92775</v>
      </c>
      <c r="D31" s="86" t="s">
        <v>195</v>
      </c>
      <c r="E31" s="64" t="s">
        <v>193</v>
      </c>
      <c r="F31" s="65">
        <f>10*((3/0.5)*(0.15*4))</f>
        <v>36</v>
      </c>
      <c r="G31" s="80">
        <v>18.46</v>
      </c>
      <c r="H31" s="66">
        <f t="shared" si="0"/>
        <v>23.69</v>
      </c>
      <c r="I31" s="80">
        <f t="shared" si="1"/>
        <v>852.84</v>
      </c>
      <c r="J31" s="43"/>
      <c r="K31" s="294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</row>
    <row r="32" spans="1:34" s="71" customFormat="1" ht="28.5" x14ac:dyDescent="0.2">
      <c r="A32" s="43"/>
      <c r="B32" s="64" t="s">
        <v>94</v>
      </c>
      <c r="C32" s="64">
        <v>103669</v>
      </c>
      <c r="D32" s="86" t="s">
        <v>228</v>
      </c>
      <c r="E32" s="64" t="s">
        <v>186</v>
      </c>
      <c r="F32" s="65">
        <f>10*(0.2*0.2)*3</f>
        <v>1.2000000000000002</v>
      </c>
      <c r="G32" s="80">
        <v>907.07</v>
      </c>
      <c r="H32" s="66">
        <f t="shared" si="0"/>
        <v>1164.22</v>
      </c>
      <c r="I32" s="80">
        <f t="shared" si="1"/>
        <v>1397.06</v>
      </c>
      <c r="J32" s="43"/>
      <c r="K32" s="294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</row>
    <row r="33" spans="1:34" s="71" customFormat="1" ht="57" x14ac:dyDescent="0.2">
      <c r="A33" s="43"/>
      <c r="B33" s="64" t="s">
        <v>188</v>
      </c>
      <c r="C33" s="64">
        <v>87905</v>
      </c>
      <c r="D33" s="86" t="s">
        <v>196</v>
      </c>
      <c r="E33" s="64" t="s">
        <v>0</v>
      </c>
      <c r="F33" s="65">
        <f>((25+24+24)*2.1)*2</f>
        <v>306.60000000000002</v>
      </c>
      <c r="G33" s="80">
        <v>7.3</v>
      </c>
      <c r="H33" s="66">
        <f t="shared" si="0"/>
        <v>9.36</v>
      </c>
      <c r="I33" s="80">
        <f t="shared" si="1"/>
        <v>2869.77</v>
      </c>
      <c r="J33" s="43"/>
      <c r="K33" s="294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</row>
    <row r="34" spans="1:34" s="71" customFormat="1" ht="42.75" x14ac:dyDescent="0.2">
      <c r="A34" s="43"/>
      <c r="B34" s="64" t="s">
        <v>189</v>
      </c>
      <c r="C34" s="64">
        <v>89173</v>
      </c>
      <c r="D34" s="86" t="s">
        <v>101</v>
      </c>
      <c r="E34" s="64" t="s">
        <v>0</v>
      </c>
      <c r="F34" s="65">
        <f>((25+24+24)*2.1)*2</f>
        <v>306.60000000000002</v>
      </c>
      <c r="G34" s="80">
        <v>30.14</v>
      </c>
      <c r="H34" s="66">
        <f t="shared" si="0"/>
        <v>38.68</v>
      </c>
      <c r="I34" s="80">
        <f t="shared" si="1"/>
        <v>11859.28</v>
      </c>
      <c r="J34" s="43"/>
      <c r="K34" s="294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</row>
    <row r="35" spans="1:34" s="71" customFormat="1" ht="42.75" x14ac:dyDescent="0.2">
      <c r="A35" s="43"/>
      <c r="B35" s="64" t="s">
        <v>197</v>
      </c>
      <c r="C35" s="64" t="str">
        <f>Composições!A49</f>
        <v>Composição 19</v>
      </c>
      <c r="D35" s="86" t="s">
        <v>199</v>
      </c>
      <c r="E35" s="64" t="s">
        <v>21</v>
      </c>
      <c r="F35" s="65">
        <v>25</v>
      </c>
      <c r="G35" s="80">
        <f>Composições!F49</f>
        <v>2267.67</v>
      </c>
      <c r="H35" s="66">
        <f t="shared" si="0"/>
        <v>2910.55</v>
      </c>
      <c r="I35" s="80">
        <f t="shared" si="1"/>
        <v>72763.75</v>
      </c>
      <c r="J35" s="43"/>
      <c r="K35" s="294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</row>
    <row r="36" spans="1:34" s="71" customFormat="1" ht="15" customHeight="1" x14ac:dyDescent="0.2">
      <c r="A36" s="43"/>
      <c r="B36" s="67"/>
      <c r="C36" s="88"/>
      <c r="D36" s="95"/>
      <c r="E36" s="96"/>
      <c r="F36" s="97"/>
      <c r="G36" s="85" t="s">
        <v>1</v>
      </c>
      <c r="H36" s="98"/>
      <c r="I36" s="70">
        <f>SUM(I25:I35)</f>
        <v>99788.36</v>
      </c>
      <c r="J36" s="43"/>
      <c r="K36" s="294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</row>
    <row r="37" spans="1:34" ht="15" x14ac:dyDescent="0.2">
      <c r="B37" s="238"/>
      <c r="C37" s="239"/>
      <c r="D37" s="239"/>
      <c r="E37" s="239"/>
      <c r="F37" s="239"/>
      <c r="G37" s="240"/>
      <c r="H37" s="241"/>
      <c r="I37" s="242"/>
      <c r="K37" s="294"/>
    </row>
    <row r="38" spans="1:34" ht="15" x14ac:dyDescent="0.25">
      <c r="B38" s="58">
        <v>5</v>
      </c>
      <c r="C38" s="196"/>
      <c r="D38" s="60" t="s">
        <v>123</v>
      </c>
      <c r="E38" s="60"/>
      <c r="F38" s="60"/>
      <c r="G38" s="60"/>
      <c r="H38" s="60"/>
      <c r="I38" s="197"/>
      <c r="K38" s="294"/>
    </row>
    <row r="39" spans="1:34" s="195" customFormat="1" x14ac:dyDescent="0.2">
      <c r="A39" s="56"/>
      <c r="B39" s="198" t="s">
        <v>90</v>
      </c>
      <c r="C39" s="198" t="s">
        <v>117</v>
      </c>
      <c r="D39" s="199" t="s">
        <v>105</v>
      </c>
      <c r="E39" s="200" t="s">
        <v>0</v>
      </c>
      <c r="F39" s="201">
        <f>(F40+F41+F42)*0.4</f>
        <v>147.66799999999998</v>
      </c>
      <c r="G39" s="202">
        <f>Composições!F32</f>
        <v>5.27</v>
      </c>
      <c r="H39" s="66">
        <f t="shared" ref="H39:H49" si="2">TRUNC(G39*1.2835,2)</f>
        <v>6.76</v>
      </c>
      <c r="I39" s="80">
        <f t="shared" ref="I39:I49" si="3">TRUNC(H39*F39,2)</f>
        <v>998.23</v>
      </c>
      <c r="J39" s="56"/>
      <c r="K39" s="294"/>
    </row>
    <row r="40" spans="1:34" s="195" customFormat="1" x14ac:dyDescent="0.2">
      <c r="A40" s="56"/>
      <c r="B40" s="198" t="s">
        <v>91</v>
      </c>
      <c r="C40" s="198">
        <v>88485</v>
      </c>
      <c r="D40" s="199" t="s">
        <v>106</v>
      </c>
      <c r="E40" s="200" t="s">
        <v>0</v>
      </c>
      <c r="F40" s="201">
        <v>118.32</v>
      </c>
      <c r="G40" s="202">
        <v>1.8</v>
      </c>
      <c r="H40" s="66">
        <f t="shared" si="2"/>
        <v>2.31</v>
      </c>
      <c r="I40" s="80">
        <f t="shared" si="3"/>
        <v>273.31</v>
      </c>
      <c r="J40" s="56"/>
      <c r="K40" s="294"/>
    </row>
    <row r="41" spans="1:34" s="195" customFormat="1" x14ac:dyDescent="0.2">
      <c r="A41" s="56"/>
      <c r="B41" s="198" t="s">
        <v>92</v>
      </c>
      <c r="C41" s="64">
        <v>88496</v>
      </c>
      <c r="D41" s="203" t="s">
        <v>107</v>
      </c>
      <c r="E41" s="200" t="s">
        <v>0</v>
      </c>
      <c r="F41" s="204">
        <v>132.47</v>
      </c>
      <c r="G41" s="205">
        <v>24.32</v>
      </c>
      <c r="H41" s="66">
        <f t="shared" si="2"/>
        <v>31.21</v>
      </c>
      <c r="I41" s="80">
        <f t="shared" si="3"/>
        <v>4134.38</v>
      </c>
      <c r="J41" s="56"/>
      <c r="K41" s="294"/>
    </row>
    <row r="42" spans="1:34" s="195" customFormat="1" ht="18.75" customHeight="1" x14ac:dyDescent="0.2">
      <c r="A42" s="56"/>
      <c r="B42" s="198" t="s">
        <v>207</v>
      </c>
      <c r="C42" s="64">
        <v>88497</v>
      </c>
      <c r="D42" s="203" t="s">
        <v>108</v>
      </c>
      <c r="E42" s="200" t="s">
        <v>0</v>
      </c>
      <c r="F42" s="204">
        <v>118.38</v>
      </c>
      <c r="G42" s="205">
        <v>14.1</v>
      </c>
      <c r="H42" s="66">
        <f t="shared" si="2"/>
        <v>18.09</v>
      </c>
      <c r="I42" s="80">
        <f t="shared" si="3"/>
        <v>2141.4899999999998</v>
      </c>
      <c r="J42" s="56"/>
      <c r="K42" s="294"/>
    </row>
    <row r="43" spans="1:34" s="195" customFormat="1" x14ac:dyDescent="0.2">
      <c r="A43" s="56"/>
      <c r="B43" s="198" t="s">
        <v>208</v>
      </c>
      <c r="C43" s="64">
        <v>95305</v>
      </c>
      <c r="D43" s="82" t="s">
        <v>110</v>
      </c>
      <c r="E43" s="200" t="s">
        <v>0</v>
      </c>
      <c r="F43" s="204">
        <v>413.96</v>
      </c>
      <c r="G43" s="206">
        <v>11.4</v>
      </c>
      <c r="H43" s="66">
        <f t="shared" si="2"/>
        <v>14.63</v>
      </c>
      <c r="I43" s="80">
        <f t="shared" si="3"/>
        <v>6056.23</v>
      </c>
      <c r="J43" s="56"/>
      <c r="K43" s="294"/>
    </row>
    <row r="44" spans="1:34" s="195" customFormat="1" ht="28.5" x14ac:dyDescent="0.2">
      <c r="A44" s="56"/>
      <c r="B44" s="198" t="s">
        <v>209</v>
      </c>
      <c r="C44" s="64" t="s">
        <v>121</v>
      </c>
      <c r="D44" s="86" t="s">
        <v>129</v>
      </c>
      <c r="E44" s="64" t="s">
        <v>0</v>
      </c>
      <c r="F44" s="204">
        <v>118.38</v>
      </c>
      <c r="G44" s="205">
        <f>Composições!F35</f>
        <v>11.48</v>
      </c>
      <c r="H44" s="66">
        <f t="shared" si="2"/>
        <v>14.73</v>
      </c>
      <c r="I44" s="80">
        <f t="shared" si="3"/>
        <v>1743.73</v>
      </c>
      <c r="J44" s="56"/>
      <c r="K44" s="294"/>
    </row>
    <row r="45" spans="1:34" s="195" customFormat="1" x14ac:dyDescent="0.2">
      <c r="A45" s="56"/>
      <c r="B45" s="198" t="s">
        <v>210</v>
      </c>
      <c r="C45" s="277">
        <v>88496</v>
      </c>
      <c r="D45" s="278" t="s">
        <v>107</v>
      </c>
      <c r="E45" s="198" t="s">
        <v>0</v>
      </c>
      <c r="F45" s="65">
        <v>132.47</v>
      </c>
      <c r="G45" s="205">
        <v>24.32</v>
      </c>
      <c r="H45" s="66">
        <f t="shared" si="2"/>
        <v>31.21</v>
      </c>
      <c r="I45" s="80">
        <f t="shared" si="3"/>
        <v>4134.38</v>
      </c>
      <c r="J45" s="56"/>
      <c r="K45" s="294"/>
    </row>
    <row r="46" spans="1:34" s="195" customFormat="1" ht="28.5" x14ac:dyDescent="0.2">
      <c r="A46" s="56"/>
      <c r="B46" s="198" t="s">
        <v>211</v>
      </c>
      <c r="C46" s="64" t="s">
        <v>122</v>
      </c>
      <c r="D46" s="86" t="s">
        <v>124</v>
      </c>
      <c r="E46" s="200" t="s">
        <v>0</v>
      </c>
      <c r="F46" s="204">
        <v>243.53</v>
      </c>
      <c r="G46" s="205">
        <f>Composições!F39</f>
        <v>24.74</v>
      </c>
      <c r="H46" s="66">
        <f t="shared" si="2"/>
        <v>31.75</v>
      </c>
      <c r="I46" s="80">
        <f t="shared" si="3"/>
        <v>7732.07</v>
      </c>
      <c r="J46" s="56"/>
      <c r="K46" s="294"/>
    </row>
    <row r="47" spans="1:34" s="195" customFormat="1" ht="28.5" x14ac:dyDescent="0.2">
      <c r="A47" s="56"/>
      <c r="B47" s="198" t="s">
        <v>212</v>
      </c>
      <c r="C47" s="64" t="s">
        <v>130</v>
      </c>
      <c r="D47" s="86" t="s">
        <v>127</v>
      </c>
      <c r="E47" s="207" t="str">
        <f>[1]Composição!C189</f>
        <v>M²</v>
      </c>
      <c r="F47" s="208">
        <v>257.39</v>
      </c>
      <c r="G47" s="209">
        <f>Composições!F44</f>
        <v>31.34</v>
      </c>
      <c r="H47" s="66">
        <f t="shared" si="2"/>
        <v>40.22</v>
      </c>
      <c r="I47" s="80">
        <f t="shared" si="3"/>
        <v>10352.219999999999</v>
      </c>
      <c r="J47" s="56"/>
      <c r="K47" s="294"/>
    </row>
    <row r="48" spans="1:34" s="195" customFormat="1" ht="57" x14ac:dyDescent="0.2">
      <c r="A48" s="56"/>
      <c r="B48" s="198" t="s">
        <v>213</v>
      </c>
      <c r="C48" s="64">
        <v>100745</v>
      </c>
      <c r="D48" s="86" t="s">
        <v>204</v>
      </c>
      <c r="E48" s="207" t="s">
        <v>202</v>
      </c>
      <c r="F48" s="208">
        <v>66.2</v>
      </c>
      <c r="G48" s="209">
        <v>18.55</v>
      </c>
      <c r="H48" s="66">
        <f t="shared" si="2"/>
        <v>23.8</v>
      </c>
      <c r="I48" s="80">
        <f t="shared" si="3"/>
        <v>1575.56</v>
      </c>
      <c r="J48" s="56"/>
      <c r="K48" s="294"/>
    </row>
    <row r="49" spans="1:11" s="195" customFormat="1" x14ac:dyDescent="0.2">
      <c r="A49" s="56"/>
      <c r="B49" s="198" t="s">
        <v>214</v>
      </c>
      <c r="C49" s="64">
        <v>102491</v>
      </c>
      <c r="D49" s="86" t="s">
        <v>203</v>
      </c>
      <c r="E49" s="207" t="s">
        <v>202</v>
      </c>
      <c r="F49" s="208">
        <v>160.27000000000001</v>
      </c>
      <c r="G49" s="209">
        <v>15.23</v>
      </c>
      <c r="H49" s="66">
        <f t="shared" si="2"/>
        <v>19.54</v>
      </c>
      <c r="I49" s="80">
        <f t="shared" si="3"/>
        <v>3131.67</v>
      </c>
      <c r="J49" s="56"/>
      <c r="K49" s="294"/>
    </row>
    <row r="50" spans="1:11" ht="15" x14ac:dyDescent="0.2">
      <c r="B50" s="58"/>
      <c r="C50" s="210"/>
      <c r="D50" s="210"/>
      <c r="E50" s="210"/>
      <c r="F50" s="210"/>
      <c r="G50" s="69" t="s">
        <v>1</v>
      </c>
      <c r="H50" s="211"/>
      <c r="I50" s="70">
        <f>SUM(I39:I49)</f>
        <v>42273.27</v>
      </c>
      <c r="K50" s="294"/>
    </row>
    <row r="51" spans="1:11" s="43" customFormat="1" ht="15" x14ac:dyDescent="0.2">
      <c r="B51" s="238"/>
      <c r="C51" s="239"/>
      <c r="D51" s="239"/>
      <c r="E51" s="239"/>
      <c r="F51" s="239"/>
      <c r="G51" s="239"/>
      <c r="H51" s="241"/>
      <c r="I51" s="230"/>
      <c r="K51" s="294"/>
    </row>
    <row r="52" spans="1:11" s="194" customFormat="1" ht="15" x14ac:dyDescent="0.25">
      <c r="B52" s="57">
        <v>6</v>
      </c>
      <c r="C52" s="196"/>
      <c r="D52" s="60" t="s">
        <v>135</v>
      </c>
      <c r="E52" s="60"/>
      <c r="F52" s="60"/>
      <c r="G52" s="60"/>
      <c r="H52" s="60"/>
      <c r="I52" s="197"/>
      <c r="K52" s="294"/>
    </row>
    <row r="53" spans="1:11" s="194" customFormat="1" ht="28.5" x14ac:dyDescent="0.2">
      <c r="B53" s="198" t="s">
        <v>36</v>
      </c>
      <c r="C53" s="212">
        <v>91926</v>
      </c>
      <c r="D53" s="86" t="s">
        <v>136</v>
      </c>
      <c r="E53" s="213" t="s">
        <v>6</v>
      </c>
      <c r="F53" s="214">
        <v>50</v>
      </c>
      <c r="G53" s="202">
        <v>4.1100000000000003</v>
      </c>
      <c r="H53" s="66">
        <f t="shared" ref="H53:H60" si="4">TRUNC(G53*1.2835,2)</f>
        <v>5.27</v>
      </c>
      <c r="I53" s="80">
        <f t="shared" ref="I53:I60" si="5">TRUNC(H53*F53,2)</f>
        <v>263.5</v>
      </c>
      <c r="K53" s="294"/>
    </row>
    <row r="54" spans="1:11" s="194" customFormat="1" ht="28.5" x14ac:dyDescent="0.2">
      <c r="B54" s="198" t="s">
        <v>37</v>
      </c>
      <c r="C54" s="212">
        <v>91996</v>
      </c>
      <c r="D54" s="86" t="s">
        <v>137</v>
      </c>
      <c r="E54" s="213" t="s">
        <v>12</v>
      </c>
      <c r="F54" s="214">
        <v>1</v>
      </c>
      <c r="G54" s="202">
        <v>25.13</v>
      </c>
      <c r="H54" s="66">
        <f t="shared" si="4"/>
        <v>32.25</v>
      </c>
      <c r="I54" s="80">
        <f t="shared" si="5"/>
        <v>32.25</v>
      </c>
      <c r="K54" s="294"/>
    </row>
    <row r="55" spans="1:11" s="194" customFormat="1" ht="28.5" x14ac:dyDescent="0.2">
      <c r="B55" s="198" t="s">
        <v>75</v>
      </c>
      <c r="C55" s="212">
        <v>92000</v>
      </c>
      <c r="D55" s="86" t="s">
        <v>138</v>
      </c>
      <c r="E55" s="213" t="s">
        <v>12</v>
      </c>
      <c r="F55" s="214">
        <v>1</v>
      </c>
      <c r="G55" s="202">
        <v>22.3</v>
      </c>
      <c r="H55" s="66">
        <f t="shared" si="4"/>
        <v>28.62</v>
      </c>
      <c r="I55" s="80">
        <f t="shared" si="5"/>
        <v>28.62</v>
      </c>
      <c r="K55" s="294"/>
    </row>
    <row r="56" spans="1:11" s="194" customFormat="1" ht="28.5" x14ac:dyDescent="0.2">
      <c r="B56" s="198" t="s">
        <v>38</v>
      </c>
      <c r="C56" s="64">
        <v>38769</v>
      </c>
      <c r="D56" s="86" t="s">
        <v>139</v>
      </c>
      <c r="E56" s="64" t="s">
        <v>12</v>
      </c>
      <c r="F56" s="214">
        <v>2</v>
      </c>
      <c r="G56" s="202">
        <v>98.28</v>
      </c>
      <c r="H56" s="66">
        <f t="shared" si="4"/>
        <v>126.14</v>
      </c>
      <c r="I56" s="80">
        <f t="shared" si="5"/>
        <v>252.28</v>
      </c>
      <c r="K56" s="294"/>
    </row>
    <row r="57" spans="1:11" s="194" customFormat="1" x14ac:dyDescent="0.2">
      <c r="B57" s="198" t="s">
        <v>109</v>
      </c>
      <c r="C57" s="64">
        <v>39391</v>
      </c>
      <c r="D57" s="86" t="s">
        <v>140</v>
      </c>
      <c r="E57" s="64" t="s">
        <v>12</v>
      </c>
      <c r="F57" s="215">
        <v>2</v>
      </c>
      <c r="G57" s="202">
        <v>43.65</v>
      </c>
      <c r="H57" s="66">
        <f t="shared" si="4"/>
        <v>56.02</v>
      </c>
      <c r="I57" s="80">
        <f t="shared" si="5"/>
        <v>112.04</v>
      </c>
      <c r="K57" s="294"/>
    </row>
    <row r="58" spans="1:11" s="194" customFormat="1" x14ac:dyDescent="0.2">
      <c r="B58" s="198" t="s">
        <v>111</v>
      </c>
      <c r="C58" s="64">
        <v>39385</v>
      </c>
      <c r="D58" s="86" t="s">
        <v>141</v>
      </c>
      <c r="E58" s="64" t="s">
        <v>12</v>
      </c>
      <c r="F58" s="215">
        <v>2</v>
      </c>
      <c r="G58" s="202">
        <v>17.09</v>
      </c>
      <c r="H58" s="66">
        <f t="shared" si="4"/>
        <v>21.93</v>
      </c>
      <c r="I58" s="80">
        <f t="shared" si="5"/>
        <v>43.86</v>
      </c>
      <c r="K58" s="294"/>
    </row>
    <row r="59" spans="1:11" s="194" customFormat="1" x14ac:dyDescent="0.2">
      <c r="B59" s="198" t="s">
        <v>113</v>
      </c>
      <c r="C59" s="213">
        <v>88247</v>
      </c>
      <c r="D59" s="86" t="s">
        <v>142</v>
      </c>
      <c r="E59" s="213" t="s">
        <v>20</v>
      </c>
      <c r="F59" s="215">
        <f>8*2</f>
        <v>16</v>
      </c>
      <c r="G59" s="202">
        <v>16.84</v>
      </c>
      <c r="H59" s="66">
        <f t="shared" si="4"/>
        <v>21.61</v>
      </c>
      <c r="I59" s="80">
        <f t="shared" si="5"/>
        <v>345.76</v>
      </c>
      <c r="K59" s="294"/>
    </row>
    <row r="60" spans="1:11" s="194" customFormat="1" x14ac:dyDescent="0.2">
      <c r="B60" s="198" t="s">
        <v>114</v>
      </c>
      <c r="C60" s="213">
        <v>88264</v>
      </c>
      <c r="D60" s="86" t="s">
        <v>143</v>
      </c>
      <c r="E60" s="213" t="s">
        <v>20</v>
      </c>
      <c r="F60" s="215">
        <f>8*2</f>
        <v>16</v>
      </c>
      <c r="G60" s="202">
        <v>19.53</v>
      </c>
      <c r="H60" s="66">
        <f t="shared" si="4"/>
        <v>25.06</v>
      </c>
      <c r="I60" s="80">
        <f t="shared" si="5"/>
        <v>400.96</v>
      </c>
      <c r="K60" s="294"/>
    </row>
    <row r="61" spans="1:11" s="194" customFormat="1" ht="15" x14ac:dyDescent="0.2">
      <c r="B61" s="58"/>
      <c r="C61" s="210"/>
      <c r="D61" s="210"/>
      <c r="E61" s="210"/>
      <c r="F61" s="210"/>
      <c r="G61" s="216" t="s">
        <v>1</v>
      </c>
      <c r="H61" s="211"/>
      <c r="I61" s="70">
        <f>SUM(I53:I60)</f>
        <v>1479.27</v>
      </c>
      <c r="K61" s="294"/>
    </row>
    <row r="62" spans="1:11" s="194" customFormat="1" ht="15" x14ac:dyDescent="0.2">
      <c r="B62" s="274"/>
      <c r="C62" s="275"/>
      <c r="D62" s="275"/>
      <c r="E62" s="275"/>
      <c r="F62" s="275"/>
      <c r="G62" s="275"/>
      <c r="H62" s="276"/>
      <c r="I62" s="230"/>
      <c r="K62" s="294"/>
    </row>
    <row r="63" spans="1:11" s="194" customFormat="1" ht="15" x14ac:dyDescent="0.25">
      <c r="B63" s="57">
        <v>7</v>
      </c>
      <c r="C63" s="196"/>
      <c r="D63" s="60" t="s">
        <v>230</v>
      </c>
      <c r="E63" s="60"/>
      <c r="F63" s="60"/>
      <c r="G63" s="60"/>
      <c r="H63" s="60"/>
      <c r="I63" s="197"/>
      <c r="K63" s="294"/>
    </row>
    <row r="64" spans="1:11" s="194" customFormat="1" ht="42.75" x14ac:dyDescent="0.2">
      <c r="B64" s="198" t="s">
        <v>131</v>
      </c>
      <c r="C64" s="273">
        <v>103075</v>
      </c>
      <c r="D64" s="203" t="s">
        <v>231</v>
      </c>
      <c r="E64" s="213" t="s">
        <v>26</v>
      </c>
      <c r="F64" s="214">
        <v>7</v>
      </c>
      <c r="G64" s="202">
        <v>227.93</v>
      </c>
      <c r="H64" s="66">
        <f t="shared" ref="H64:H70" si="6">TRUNC(G64*1.2835,2)</f>
        <v>292.54000000000002</v>
      </c>
      <c r="I64" s="80">
        <f t="shared" ref="I64:I70" si="7">TRUNC(H64*F64,2)</f>
        <v>2047.78</v>
      </c>
      <c r="K64" s="294"/>
    </row>
    <row r="65" spans="1:11" s="194" customFormat="1" ht="28.5" x14ac:dyDescent="0.2">
      <c r="B65" s="198" t="s">
        <v>132</v>
      </c>
      <c r="C65" s="273">
        <v>89489</v>
      </c>
      <c r="D65" s="203" t="s">
        <v>243</v>
      </c>
      <c r="E65" s="213" t="s">
        <v>12</v>
      </c>
      <c r="F65" s="214">
        <v>4</v>
      </c>
      <c r="G65" s="202">
        <v>6.84</v>
      </c>
      <c r="H65" s="66">
        <f t="shared" si="6"/>
        <v>8.77</v>
      </c>
      <c r="I65" s="80">
        <f t="shared" si="7"/>
        <v>35.08</v>
      </c>
      <c r="K65" s="294"/>
    </row>
    <row r="66" spans="1:11" s="194" customFormat="1" ht="28.5" x14ac:dyDescent="0.2">
      <c r="B66" s="198" t="s">
        <v>133</v>
      </c>
      <c r="C66" s="213">
        <v>89356</v>
      </c>
      <c r="D66" s="203" t="s">
        <v>244</v>
      </c>
      <c r="E66" s="213" t="s">
        <v>6</v>
      </c>
      <c r="F66" s="65">
        <v>13.5</v>
      </c>
      <c r="G66" s="205">
        <v>18.66</v>
      </c>
      <c r="H66" s="66">
        <f t="shared" si="6"/>
        <v>23.95</v>
      </c>
      <c r="I66" s="80">
        <f t="shared" si="7"/>
        <v>323.32</v>
      </c>
      <c r="K66" s="294"/>
    </row>
    <row r="67" spans="1:11" s="194" customFormat="1" ht="57" x14ac:dyDescent="0.2">
      <c r="B67" s="198" t="s">
        <v>134</v>
      </c>
      <c r="C67" s="213">
        <v>94703</v>
      </c>
      <c r="D67" s="203" t="s">
        <v>245</v>
      </c>
      <c r="E67" s="213" t="s">
        <v>12</v>
      </c>
      <c r="F67" s="65">
        <v>3</v>
      </c>
      <c r="G67" s="80">
        <v>19.350000000000001</v>
      </c>
      <c r="H67" s="66">
        <f t="shared" si="6"/>
        <v>24.83</v>
      </c>
      <c r="I67" s="80">
        <f t="shared" si="7"/>
        <v>74.489999999999995</v>
      </c>
      <c r="K67" s="294"/>
    </row>
    <row r="68" spans="1:11" s="194" customFormat="1" ht="42.75" x14ac:dyDescent="0.2">
      <c r="B68" s="198" t="s">
        <v>224</v>
      </c>
      <c r="C68" s="213">
        <v>94656</v>
      </c>
      <c r="D68" s="203" t="s">
        <v>246</v>
      </c>
      <c r="E68" s="213" t="s">
        <v>12</v>
      </c>
      <c r="F68" s="65">
        <v>3</v>
      </c>
      <c r="G68" s="80">
        <v>5.89</v>
      </c>
      <c r="H68" s="66">
        <f t="shared" si="6"/>
        <v>7.55</v>
      </c>
      <c r="I68" s="80">
        <f t="shared" si="7"/>
        <v>22.65</v>
      </c>
      <c r="K68" s="294"/>
    </row>
    <row r="69" spans="1:11" s="194" customFormat="1" ht="42.75" x14ac:dyDescent="0.2">
      <c r="B69" s="198" t="s">
        <v>225</v>
      </c>
      <c r="C69" s="213">
        <v>94657</v>
      </c>
      <c r="D69" s="203" t="s">
        <v>247</v>
      </c>
      <c r="E69" s="213" t="s">
        <v>12</v>
      </c>
      <c r="F69" s="65">
        <v>3</v>
      </c>
      <c r="G69" s="80">
        <v>5.78</v>
      </c>
      <c r="H69" s="66">
        <f t="shared" si="6"/>
        <v>7.41</v>
      </c>
      <c r="I69" s="80">
        <f t="shared" si="7"/>
        <v>22.23</v>
      </c>
      <c r="K69" s="294"/>
    </row>
    <row r="70" spans="1:11" s="194" customFormat="1" ht="28.5" x14ac:dyDescent="0.2">
      <c r="B70" s="198" t="s">
        <v>226</v>
      </c>
      <c r="C70" s="213">
        <v>102617</v>
      </c>
      <c r="D70" s="203" t="s">
        <v>229</v>
      </c>
      <c r="E70" s="213" t="s">
        <v>12</v>
      </c>
      <c r="F70" s="65">
        <v>1</v>
      </c>
      <c r="G70" s="80">
        <v>2957.99</v>
      </c>
      <c r="H70" s="66">
        <f t="shared" si="6"/>
        <v>3796.58</v>
      </c>
      <c r="I70" s="80">
        <f t="shared" si="7"/>
        <v>3796.58</v>
      </c>
      <c r="K70" s="294"/>
    </row>
    <row r="71" spans="1:11" s="194" customFormat="1" ht="28.5" x14ac:dyDescent="0.2">
      <c r="B71" s="198" t="s">
        <v>227</v>
      </c>
      <c r="C71" s="64">
        <v>94495</v>
      </c>
      <c r="D71" s="86" t="s">
        <v>248</v>
      </c>
      <c r="E71" s="213" t="s">
        <v>12</v>
      </c>
      <c r="F71" s="65">
        <v>1</v>
      </c>
      <c r="G71" s="205">
        <v>48.89</v>
      </c>
      <c r="H71" s="66">
        <f>TRUNC(G71*1.2835,2)</f>
        <v>62.75</v>
      </c>
      <c r="I71" s="80">
        <f>TRUNC(H71*F71,2)</f>
        <v>62.75</v>
      </c>
      <c r="K71" s="294"/>
    </row>
    <row r="72" spans="1:11" s="194" customFormat="1" ht="28.5" x14ac:dyDescent="0.2">
      <c r="A72" s="194" t="s">
        <v>238</v>
      </c>
      <c r="B72" s="198" t="s">
        <v>239</v>
      </c>
      <c r="C72" s="212">
        <v>91926</v>
      </c>
      <c r="D72" s="86" t="s">
        <v>136</v>
      </c>
      <c r="E72" s="213" t="s">
        <v>6</v>
      </c>
      <c r="F72" s="65">
        <v>100</v>
      </c>
      <c r="G72" s="202">
        <v>4.1100000000000003</v>
      </c>
      <c r="H72" s="66">
        <f t="shared" ref="H72:H75" si="8">TRUNC(G72*1.2835,2)</f>
        <v>5.27</v>
      </c>
      <c r="I72" s="80">
        <f t="shared" ref="I72:I75" si="9">TRUNC(H72*F72,2)</f>
        <v>527</v>
      </c>
      <c r="K72" s="294"/>
    </row>
    <row r="73" spans="1:11" s="194" customFormat="1" ht="28.5" x14ac:dyDescent="0.2">
      <c r="B73" s="198" t="s">
        <v>240</v>
      </c>
      <c r="C73" s="213">
        <v>93141</v>
      </c>
      <c r="D73" s="203" t="s">
        <v>251</v>
      </c>
      <c r="E73" s="213" t="s">
        <v>12</v>
      </c>
      <c r="F73" s="65">
        <v>1</v>
      </c>
      <c r="G73" s="80">
        <v>156.87</v>
      </c>
      <c r="H73" s="66">
        <f t="shared" si="8"/>
        <v>201.34</v>
      </c>
      <c r="I73" s="80">
        <f t="shared" si="9"/>
        <v>201.34</v>
      </c>
      <c r="K73" s="294"/>
    </row>
    <row r="74" spans="1:11" s="194" customFormat="1" ht="28.5" x14ac:dyDescent="0.2">
      <c r="B74" s="198" t="s">
        <v>241</v>
      </c>
      <c r="C74" s="213">
        <v>93655</v>
      </c>
      <c r="D74" s="203" t="s">
        <v>250</v>
      </c>
      <c r="E74" s="213" t="s">
        <v>12</v>
      </c>
      <c r="F74" s="65">
        <v>1</v>
      </c>
      <c r="G74" s="80">
        <v>13.18</v>
      </c>
      <c r="H74" s="66">
        <f t="shared" ref="H74" si="10">TRUNC(G74*1.2835,2)</f>
        <v>16.91</v>
      </c>
      <c r="I74" s="80">
        <f t="shared" ref="I74" si="11">TRUNC(H74*F74,2)</f>
        <v>16.91</v>
      </c>
      <c r="K74" s="294"/>
    </row>
    <row r="75" spans="1:11" s="194" customFormat="1" ht="28.5" x14ac:dyDescent="0.2">
      <c r="B75" s="198" t="s">
        <v>242</v>
      </c>
      <c r="C75" s="64">
        <v>102111</v>
      </c>
      <c r="D75" s="86" t="s">
        <v>249</v>
      </c>
      <c r="E75" s="213" t="s">
        <v>12</v>
      </c>
      <c r="F75" s="65">
        <v>1</v>
      </c>
      <c r="G75" s="205">
        <v>789.66</v>
      </c>
      <c r="H75" s="66">
        <f t="shared" si="8"/>
        <v>1013.52</v>
      </c>
      <c r="I75" s="80">
        <f t="shared" si="9"/>
        <v>1013.52</v>
      </c>
      <c r="K75" s="294"/>
    </row>
    <row r="76" spans="1:11" s="194" customFormat="1" ht="15" x14ac:dyDescent="0.2">
      <c r="B76" s="58"/>
      <c r="C76" s="210"/>
      <c r="D76" s="210"/>
      <c r="E76" s="210"/>
      <c r="F76" s="210"/>
      <c r="G76" s="216" t="s">
        <v>1</v>
      </c>
      <c r="H76" s="211"/>
      <c r="I76" s="70">
        <f>SUM(I64:I75)</f>
        <v>8143.65</v>
      </c>
      <c r="K76" s="294"/>
    </row>
    <row r="77" spans="1:11" s="194" customFormat="1" ht="15" x14ac:dyDescent="0.2">
      <c r="B77" s="238"/>
      <c r="C77" s="239"/>
      <c r="D77" s="239"/>
      <c r="E77" s="239"/>
      <c r="F77" s="239"/>
      <c r="G77" s="239"/>
      <c r="H77" s="241"/>
      <c r="I77" s="230"/>
      <c r="K77" s="294"/>
    </row>
    <row r="78" spans="1:11" s="194" customFormat="1" ht="15" x14ac:dyDescent="0.25">
      <c r="B78" s="57">
        <v>8</v>
      </c>
      <c r="C78" s="218"/>
      <c r="D78" s="219" t="s">
        <v>69</v>
      </c>
      <c r="E78" s="219"/>
      <c r="F78" s="219"/>
      <c r="G78" s="220"/>
      <c r="H78" s="219"/>
      <c r="I78" s="197"/>
      <c r="K78" s="294"/>
    </row>
    <row r="79" spans="1:11" s="43" customFormat="1" x14ac:dyDescent="0.2">
      <c r="B79" s="64" t="s">
        <v>232</v>
      </c>
      <c r="C79" s="64" t="s">
        <v>39</v>
      </c>
      <c r="D79" s="86" t="s">
        <v>82</v>
      </c>
      <c r="E79" s="213" t="s">
        <v>12</v>
      </c>
      <c r="F79" s="65">
        <v>1</v>
      </c>
      <c r="G79" s="205">
        <f>Composições!F21</f>
        <v>38.36</v>
      </c>
      <c r="H79" s="66">
        <f>TRUNC(G79*1.2835,2)</f>
        <v>49.23</v>
      </c>
      <c r="I79" s="80">
        <f>TRUNC(H79*F79,2)</f>
        <v>49.23</v>
      </c>
      <c r="K79" s="294"/>
    </row>
    <row r="80" spans="1:11" s="217" customFormat="1" ht="28.5" x14ac:dyDescent="0.2">
      <c r="A80" s="194"/>
      <c r="B80" s="64" t="s">
        <v>233</v>
      </c>
      <c r="C80" s="213" t="s">
        <v>201</v>
      </c>
      <c r="D80" s="86" t="s">
        <v>200</v>
      </c>
      <c r="E80" s="64" t="s">
        <v>6</v>
      </c>
      <c r="F80" s="65">
        <f>16.05+6.25+16.05+9.2+1.15+1.45</f>
        <v>50.15</v>
      </c>
      <c r="G80" s="80">
        <v>7.76</v>
      </c>
      <c r="H80" s="66">
        <f>TRUNC(G80*1.2835,2)</f>
        <v>9.9499999999999993</v>
      </c>
      <c r="I80" s="80">
        <f>TRUNC(H80*F80,2)</f>
        <v>498.99</v>
      </c>
      <c r="J80" s="194"/>
      <c r="K80" s="294"/>
    </row>
    <row r="81" spans="2:11" ht="28.5" x14ac:dyDescent="0.2">
      <c r="B81" s="64" t="s">
        <v>234</v>
      </c>
      <c r="C81" s="213" t="s">
        <v>206</v>
      </c>
      <c r="D81" s="86" t="s">
        <v>205</v>
      </c>
      <c r="E81" s="64" t="s">
        <v>6</v>
      </c>
      <c r="F81" s="65">
        <f>(((4.65+2.1)*2)+((1+2.1)*2)+((4.35+1.6)*2)+((2+1.1)*2)+((2+1.1)*2*2)+((1+0.5)*2)+((3.65+1.6)*2)+((1.5+0.5)*2*2))</f>
        <v>71.699999999999989</v>
      </c>
      <c r="G81" s="80">
        <v>3.74</v>
      </c>
      <c r="H81" s="66">
        <f>TRUNC(G81*1.2835,2)</f>
        <v>4.8</v>
      </c>
      <c r="I81" s="80">
        <f>TRUNC(H81*F81,2)</f>
        <v>344.16</v>
      </c>
      <c r="K81" s="294"/>
    </row>
    <row r="82" spans="2:11" x14ac:dyDescent="0.2">
      <c r="B82" s="64" t="s">
        <v>235</v>
      </c>
      <c r="C82" s="64" t="s">
        <v>59</v>
      </c>
      <c r="D82" s="86" t="s">
        <v>64</v>
      </c>
      <c r="E82" s="64" t="s">
        <v>12</v>
      </c>
      <c r="F82" s="65">
        <v>1</v>
      </c>
      <c r="G82" s="205">
        <f>Composições!F24</f>
        <v>854.34</v>
      </c>
      <c r="H82" s="66">
        <f>TRUNC(G82*1.2835,2)</f>
        <v>1096.54</v>
      </c>
      <c r="I82" s="80">
        <f>TRUNC(H82*F82,2)</f>
        <v>1096.54</v>
      </c>
      <c r="K82" s="294"/>
    </row>
    <row r="83" spans="2:11" ht="15" x14ac:dyDescent="0.2">
      <c r="B83" s="91"/>
      <c r="C83" s="90"/>
      <c r="D83" s="89"/>
      <c r="E83" s="90"/>
      <c r="F83" s="68"/>
      <c r="G83" s="69" t="s">
        <v>1</v>
      </c>
      <c r="H83" s="243"/>
      <c r="I83" s="70">
        <f>SUM(I79:I82)</f>
        <v>1988.92</v>
      </c>
      <c r="K83" s="294"/>
    </row>
    <row r="84" spans="2:11" s="43" customFormat="1" x14ac:dyDescent="0.2">
      <c r="B84" s="244"/>
      <c r="C84" s="217"/>
      <c r="D84" s="245"/>
      <c r="E84" s="217"/>
      <c r="F84" s="217"/>
      <c r="G84" s="246"/>
      <c r="H84" s="247"/>
      <c r="I84" s="247"/>
      <c r="K84" s="294"/>
    </row>
    <row r="85" spans="2:11" ht="15" x14ac:dyDescent="0.2">
      <c r="B85" s="91"/>
      <c r="C85" s="90"/>
      <c r="D85" s="89"/>
      <c r="E85" s="90"/>
      <c r="F85" s="68"/>
      <c r="G85" s="69" t="s">
        <v>76</v>
      </c>
      <c r="H85" s="243"/>
      <c r="I85" s="70">
        <f>SUM(I9:I83)/2</f>
        <v>161175.59000000005</v>
      </c>
      <c r="K85" s="294"/>
    </row>
    <row r="86" spans="2:11" x14ac:dyDescent="0.2">
      <c r="K86" s="292"/>
    </row>
    <row r="87" spans="2:11" ht="31.5" customHeight="1" x14ac:dyDescent="0.2">
      <c r="K87" s="47"/>
    </row>
    <row r="88" spans="2:11" x14ac:dyDescent="0.2">
      <c r="I88" s="77"/>
    </row>
    <row r="90" spans="2:11" x14ac:dyDescent="0.2">
      <c r="F90" s="78"/>
    </row>
  </sheetData>
  <mergeCells count="5">
    <mergeCell ref="B23:I23"/>
    <mergeCell ref="I2:I3"/>
    <mergeCell ref="J2:J3"/>
    <mergeCell ref="I4:I5"/>
    <mergeCell ref="B2:H5"/>
  </mergeCells>
  <printOptions horizontalCentered="1" verticalCentered="1"/>
  <pageMargins left="0.25" right="0.25" top="0.75" bottom="0.75" header="0.3" footer="0.3"/>
  <pageSetup paperSize="9" scale="73" fitToHeight="0" orientation="landscape" r:id="rId1"/>
  <headerFooter scaleWithDoc="0"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="115" zoomScaleNormal="115" workbookViewId="0">
      <selection activeCell="B19" sqref="B19"/>
    </sheetView>
  </sheetViews>
  <sheetFormatPr defaultRowHeight="15.75" x14ac:dyDescent="0.25"/>
  <cols>
    <col min="1" max="1" width="29.7109375" style="192" customWidth="1"/>
    <col min="2" max="2" width="92.5703125" style="111" customWidth="1"/>
    <col min="3" max="3" width="8.5703125" style="32" bestFit="1" customWidth="1"/>
    <col min="4" max="4" width="19.5703125" style="111" customWidth="1"/>
    <col min="5" max="5" width="14" style="111" customWidth="1"/>
    <col min="6" max="6" width="14.140625" style="111" customWidth="1"/>
    <col min="7" max="7" width="10.140625" style="111" bestFit="1" customWidth="1"/>
    <col min="8" max="16384" width="9.140625" style="111"/>
  </cols>
  <sheetData>
    <row r="1" spans="1:10" s="108" customFormat="1" ht="38.25" customHeight="1" x14ac:dyDescent="0.25">
      <c r="A1" s="9" t="s">
        <v>8</v>
      </c>
      <c r="B1" s="116" t="s">
        <v>15</v>
      </c>
      <c r="C1" s="33" t="s">
        <v>16</v>
      </c>
      <c r="D1" s="34" t="s">
        <v>17</v>
      </c>
      <c r="E1" s="35" t="s">
        <v>18</v>
      </c>
      <c r="F1" s="35" t="s">
        <v>19</v>
      </c>
      <c r="G1" s="107"/>
      <c r="H1" s="107"/>
      <c r="I1" s="107"/>
      <c r="J1" s="107"/>
    </row>
    <row r="2" spans="1:10" s="107" customFormat="1" x14ac:dyDescent="0.25">
      <c r="A2" s="112" t="s">
        <v>10</v>
      </c>
      <c r="B2" s="113" t="s">
        <v>50</v>
      </c>
      <c r="C2" s="112" t="s">
        <v>12</v>
      </c>
      <c r="D2" s="114"/>
      <c r="E2" s="115"/>
      <c r="F2" s="115">
        <f>SUM(F3:F5)</f>
        <v>488.28999999999996</v>
      </c>
    </row>
    <row r="3" spans="1:10" s="31" customFormat="1" ht="31.5" x14ac:dyDescent="0.25">
      <c r="A3" s="36" t="s">
        <v>78</v>
      </c>
      <c r="B3" s="13" t="s">
        <v>51</v>
      </c>
      <c r="C3" s="37" t="s">
        <v>12</v>
      </c>
      <c r="D3" s="3">
        <v>1</v>
      </c>
      <c r="E3" s="38">
        <v>167.35</v>
      </c>
      <c r="F3" s="38">
        <f>TRUNC(D3*E3,2)</f>
        <v>167.35</v>
      </c>
    </row>
    <row r="4" spans="1:10" s="31" customFormat="1" x14ac:dyDescent="0.25">
      <c r="A4" s="2" t="s">
        <v>52</v>
      </c>
      <c r="B4" s="13" t="s">
        <v>79</v>
      </c>
      <c r="C4" s="2" t="s">
        <v>12</v>
      </c>
      <c r="D4" s="3">
        <v>1</v>
      </c>
      <c r="E4" s="38">
        <v>233.94</v>
      </c>
      <c r="F4" s="38">
        <f>TRUNC(D4*E4,2)</f>
        <v>233.94</v>
      </c>
    </row>
    <row r="5" spans="1:10" s="31" customFormat="1" x14ac:dyDescent="0.25">
      <c r="A5" s="1">
        <v>90772</v>
      </c>
      <c r="B5" s="10" t="s">
        <v>53</v>
      </c>
      <c r="C5" s="2" t="s">
        <v>20</v>
      </c>
      <c r="D5" s="39">
        <v>6</v>
      </c>
      <c r="E5" s="38">
        <v>14.5</v>
      </c>
      <c r="F5" s="38">
        <f>TRUNC(D5*E5,2)</f>
        <v>87</v>
      </c>
    </row>
    <row r="6" spans="1:10" s="107" customFormat="1" ht="31.5" x14ac:dyDescent="0.25">
      <c r="A6" s="112" t="s">
        <v>11</v>
      </c>
      <c r="B6" s="113" t="s">
        <v>49</v>
      </c>
      <c r="C6" s="112" t="s">
        <v>0</v>
      </c>
      <c r="D6" s="112"/>
      <c r="E6" s="117"/>
      <c r="F6" s="117">
        <f>TRUNC(F7+F8+F9+F10+F11+F12,2)</f>
        <v>306.87</v>
      </c>
    </row>
    <row r="7" spans="1:10" s="31" customFormat="1" ht="31.5" x14ac:dyDescent="0.25">
      <c r="A7" s="279">
        <v>4417</v>
      </c>
      <c r="B7" s="280" t="s">
        <v>54</v>
      </c>
      <c r="C7" s="37" t="s">
        <v>6</v>
      </c>
      <c r="D7" s="281">
        <v>1</v>
      </c>
      <c r="E7" s="282">
        <v>5.66</v>
      </c>
      <c r="F7" s="283">
        <f t="shared" ref="F7:F12" si="0">TRUNC(D7*E7,2)</f>
        <v>5.66</v>
      </c>
    </row>
    <row r="8" spans="1:10" s="31" customFormat="1" ht="31.5" x14ac:dyDescent="0.25">
      <c r="A8" s="279">
        <v>4491</v>
      </c>
      <c r="B8" s="280" t="s">
        <v>55</v>
      </c>
      <c r="C8" s="37" t="s">
        <v>6</v>
      </c>
      <c r="D8" s="281">
        <v>4</v>
      </c>
      <c r="E8" s="282">
        <v>8.98</v>
      </c>
      <c r="F8" s="283">
        <f t="shared" si="0"/>
        <v>35.92</v>
      </c>
    </row>
    <row r="9" spans="1:10" s="31" customFormat="1" ht="31.5" x14ac:dyDescent="0.25">
      <c r="A9" s="279">
        <v>4813</v>
      </c>
      <c r="B9" s="280" t="s">
        <v>56</v>
      </c>
      <c r="C9" s="37" t="s">
        <v>26</v>
      </c>
      <c r="D9" s="281">
        <v>1</v>
      </c>
      <c r="E9" s="282">
        <v>225</v>
      </c>
      <c r="F9" s="283">
        <f t="shared" si="0"/>
        <v>225</v>
      </c>
    </row>
    <row r="10" spans="1:10" s="31" customFormat="1" x14ac:dyDescent="0.25">
      <c r="A10" s="279">
        <v>5075</v>
      </c>
      <c r="B10" s="280" t="s">
        <v>57</v>
      </c>
      <c r="C10" s="37" t="s">
        <v>7</v>
      </c>
      <c r="D10" s="281">
        <v>0.11</v>
      </c>
      <c r="E10" s="282">
        <v>23.76</v>
      </c>
      <c r="F10" s="283">
        <f t="shared" si="0"/>
        <v>2.61</v>
      </c>
    </row>
    <row r="11" spans="1:10" s="31" customFormat="1" x14ac:dyDescent="0.25">
      <c r="A11" s="1">
        <v>88262</v>
      </c>
      <c r="B11" s="14" t="s">
        <v>58</v>
      </c>
      <c r="C11" s="2" t="s">
        <v>20</v>
      </c>
      <c r="D11" s="15">
        <v>1</v>
      </c>
      <c r="E11" s="40">
        <v>20.85</v>
      </c>
      <c r="F11" s="41">
        <f t="shared" si="0"/>
        <v>20.85</v>
      </c>
    </row>
    <row r="12" spans="1:10" s="31" customFormat="1" x14ac:dyDescent="0.25">
      <c r="A12" s="1">
        <v>88316</v>
      </c>
      <c r="B12" s="14" t="s">
        <v>23</v>
      </c>
      <c r="C12" s="2" t="s">
        <v>20</v>
      </c>
      <c r="D12" s="15">
        <v>1</v>
      </c>
      <c r="E12" s="40">
        <v>16.829999999999998</v>
      </c>
      <c r="F12" s="41">
        <f t="shared" si="0"/>
        <v>16.829999999999998</v>
      </c>
    </row>
    <row r="13" spans="1:10" s="109" customFormat="1" ht="30.75" customHeight="1" x14ac:dyDescent="0.25">
      <c r="A13" s="118" t="s">
        <v>61</v>
      </c>
      <c r="B13" s="119" t="s">
        <v>41</v>
      </c>
      <c r="C13" s="118" t="s">
        <v>12</v>
      </c>
      <c r="D13" s="120"/>
      <c r="E13" s="121"/>
      <c r="F13" s="117">
        <f>TRUNC(F14+F15+F16,2)</f>
        <v>428.73</v>
      </c>
    </row>
    <row r="14" spans="1:10" s="110" customFormat="1" x14ac:dyDescent="0.25">
      <c r="A14" s="5">
        <v>88316</v>
      </c>
      <c r="B14" s="6" t="s">
        <v>23</v>
      </c>
      <c r="C14" s="5" t="s">
        <v>20</v>
      </c>
      <c r="D14" s="7">
        <v>8</v>
      </c>
      <c r="E14" s="42">
        <v>16.829999999999998</v>
      </c>
      <c r="F14" s="42">
        <f>TRUNC(D14*E14,2)</f>
        <v>134.63999999999999</v>
      </c>
    </row>
    <row r="15" spans="1:10" s="110" customFormat="1" ht="47.25" x14ac:dyDescent="0.25">
      <c r="A15" s="11">
        <v>73467</v>
      </c>
      <c r="B15" s="6" t="s">
        <v>42</v>
      </c>
      <c r="C15" s="5" t="s">
        <v>9</v>
      </c>
      <c r="D15" s="7">
        <v>1</v>
      </c>
      <c r="E15" s="42">
        <v>147.61000000000001</v>
      </c>
      <c r="F15" s="42">
        <f>TRUNC(D15*E15,2)</f>
        <v>147.61000000000001</v>
      </c>
    </row>
    <row r="16" spans="1:10" s="110" customFormat="1" ht="38.1" customHeight="1" x14ac:dyDescent="0.25">
      <c r="A16" s="11">
        <v>5892</v>
      </c>
      <c r="B16" s="6" t="s">
        <v>43</v>
      </c>
      <c r="C16" s="5" t="s">
        <v>25</v>
      </c>
      <c r="D16" s="7">
        <v>4</v>
      </c>
      <c r="E16" s="42">
        <v>36.619999999999997</v>
      </c>
      <c r="F16" s="42">
        <f>TRUNC(D16*E16,2)</f>
        <v>146.47999999999999</v>
      </c>
    </row>
    <row r="17" spans="1:10" s="109" customFormat="1" ht="27" customHeight="1" x14ac:dyDescent="0.25">
      <c r="A17" s="118" t="s">
        <v>13</v>
      </c>
      <c r="B17" s="119" t="s">
        <v>44</v>
      </c>
      <c r="C17" s="118" t="s">
        <v>12</v>
      </c>
      <c r="D17" s="120"/>
      <c r="E17" s="121"/>
      <c r="F17" s="117">
        <f>TRUNC(F18+F19+F20,2)</f>
        <v>428.73</v>
      </c>
    </row>
    <row r="18" spans="1:10" s="110" customFormat="1" x14ac:dyDescent="0.25">
      <c r="A18" s="12">
        <v>88316</v>
      </c>
      <c r="B18" s="6" t="s">
        <v>23</v>
      </c>
      <c r="C18" s="5" t="s">
        <v>20</v>
      </c>
      <c r="D18" s="7">
        <v>8</v>
      </c>
      <c r="E18" s="42">
        <v>16.829999999999998</v>
      </c>
      <c r="F18" s="42">
        <f>TRUNC(D18*E18,2)</f>
        <v>134.63999999999999</v>
      </c>
    </row>
    <row r="19" spans="1:10" s="110" customFormat="1" ht="47.25" x14ac:dyDescent="0.25">
      <c r="A19" s="11">
        <v>73467</v>
      </c>
      <c r="B19" s="6" t="s">
        <v>42</v>
      </c>
      <c r="C19" s="5" t="s">
        <v>9</v>
      </c>
      <c r="D19" s="7">
        <v>1</v>
      </c>
      <c r="E19" s="42">
        <v>147.61000000000001</v>
      </c>
      <c r="F19" s="42">
        <f>TRUNC(D19*E19,2)</f>
        <v>147.61000000000001</v>
      </c>
    </row>
    <row r="20" spans="1:10" s="110" customFormat="1" ht="31.5" x14ac:dyDescent="0.25">
      <c r="A20" s="11">
        <v>5892</v>
      </c>
      <c r="B20" s="6" t="s">
        <v>43</v>
      </c>
      <c r="C20" s="5" t="s">
        <v>25</v>
      </c>
      <c r="D20" s="7">
        <v>4</v>
      </c>
      <c r="E20" s="42">
        <v>36.619999999999997</v>
      </c>
      <c r="F20" s="42">
        <f>TRUNC(D20*E20,2)</f>
        <v>146.47999999999999</v>
      </c>
    </row>
    <row r="21" spans="1:10" s="108" customFormat="1" ht="31.5" customHeight="1" x14ac:dyDescent="0.25">
      <c r="A21" s="112" t="s">
        <v>39</v>
      </c>
      <c r="B21" s="124" t="s">
        <v>82</v>
      </c>
      <c r="C21" s="112" t="s">
        <v>21</v>
      </c>
      <c r="D21" s="114"/>
      <c r="E21" s="115"/>
      <c r="F21" s="115">
        <f>TRUNC(F22+F23,2)</f>
        <v>38.36</v>
      </c>
      <c r="G21" s="107"/>
      <c r="H21" s="107"/>
      <c r="I21" s="107"/>
      <c r="J21" s="107"/>
    </row>
    <row r="22" spans="1:10" s="107" customFormat="1" x14ac:dyDescent="0.25">
      <c r="A22" s="1">
        <v>88248</v>
      </c>
      <c r="B22" s="10" t="s">
        <v>83</v>
      </c>
      <c r="C22" s="2" t="s">
        <v>20</v>
      </c>
      <c r="D22" s="3">
        <v>1</v>
      </c>
      <c r="E22" s="4">
        <v>17.329999999999998</v>
      </c>
      <c r="F22" s="38">
        <f t="shared" ref="F22:F23" si="1">TRUNC(D22*E22,2)</f>
        <v>17.329999999999998</v>
      </c>
    </row>
    <row r="23" spans="1:10" s="107" customFormat="1" x14ac:dyDescent="0.25">
      <c r="A23" s="28">
        <v>88267</v>
      </c>
      <c r="B23" s="29" t="s">
        <v>84</v>
      </c>
      <c r="C23" s="27" t="s">
        <v>20</v>
      </c>
      <c r="D23" s="3">
        <v>1</v>
      </c>
      <c r="E23" s="38">
        <v>21.03</v>
      </c>
      <c r="F23" s="38">
        <f t="shared" si="1"/>
        <v>21.03</v>
      </c>
    </row>
    <row r="24" spans="1:10" s="248" customFormat="1" ht="27" customHeight="1" x14ac:dyDescent="0.25">
      <c r="A24" s="112" t="s">
        <v>59</v>
      </c>
      <c r="B24" s="113" t="s">
        <v>64</v>
      </c>
      <c r="C24" s="112" t="s">
        <v>0</v>
      </c>
      <c r="D24" s="114"/>
      <c r="E24" s="115"/>
      <c r="F24" s="115">
        <f>TRUNC(F25+F26+F27+F28,2)</f>
        <v>854.34</v>
      </c>
    </row>
    <row r="25" spans="1:10" s="249" customFormat="1" x14ac:dyDescent="0.25">
      <c r="A25" s="1">
        <v>99803</v>
      </c>
      <c r="B25" s="13" t="s">
        <v>65</v>
      </c>
      <c r="C25" s="2" t="s">
        <v>26</v>
      </c>
      <c r="D25" s="3">
        <v>134.9</v>
      </c>
      <c r="E25" s="4">
        <v>1.63</v>
      </c>
      <c r="F25" s="38">
        <f t="shared" ref="F25:F28" si="2">TRUNC(D25*E25,2)</f>
        <v>219.88</v>
      </c>
    </row>
    <row r="26" spans="1:10" s="249" customFormat="1" x14ac:dyDescent="0.25">
      <c r="A26" s="1">
        <v>99806</v>
      </c>
      <c r="B26" s="13" t="s">
        <v>66</v>
      </c>
      <c r="C26" s="2" t="s">
        <v>26</v>
      </c>
      <c r="D26" s="3">
        <v>177.08</v>
      </c>
      <c r="E26" s="4">
        <v>0.67</v>
      </c>
      <c r="F26" s="38">
        <f t="shared" si="2"/>
        <v>118.64</v>
      </c>
    </row>
    <row r="27" spans="1:10" s="249" customFormat="1" x14ac:dyDescent="0.25">
      <c r="A27" s="1">
        <v>99814</v>
      </c>
      <c r="B27" s="13" t="s">
        <v>67</v>
      </c>
      <c r="C27" s="2" t="s">
        <v>26</v>
      </c>
      <c r="D27" s="3">
        <f>134.9+20.3+177.08</f>
        <v>332.28000000000003</v>
      </c>
      <c r="E27" s="4">
        <v>1.55</v>
      </c>
      <c r="F27" s="38">
        <f t="shared" si="2"/>
        <v>515.03</v>
      </c>
    </row>
    <row r="28" spans="1:10" s="249" customFormat="1" x14ac:dyDescent="0.25">
      <c r="A28" s="1">
        <v>99822</v>
      </c>
      <c r="B28" s="13" t="s">
        <v>68</v>
      </c>
      <c r="C28" s="2" t="s">
        <v>26</v>
      </c>
      <c r="D28" s="3">
        <v>1</v>
      </c>
      <c r="E28" s="4">
        <v>0.79</v>
      </c>
      <c r="F28" s="38">
        <f t="shared" si="2"/>
        <v>0.79</v>
      </c>
    </row>
    <row r="29" spans="1:10" s="125" customFormat="1" ht="31.5" customHeight="1" x14ac:dyDescent="0.25">
      <c r="A29" s="118" t="s">
        <v>102</v>
      </c>
      <c r="B29" s="119" t="s">
        <v>103</v>
      </c>
      <c r="C29" s="122" t="s">
        <v>0</v>
      </c>
      <c r="D29" s="120"/>
      <c r="E29" s="123"/>
      <c r="F29" s="115">
        <f>TRUNC(F30+F31,2)</f>
        <v>2.39</v>
      </c>
    </row>
    <row r="30" spans="1:10" s="125" customFormat="1" x14ac:dyDescent="0.25">
      <c r="A30" s="26">
        <v>88309</v>
      </c>
      <c r="B30" s="14" t="s">
        <v>63</v>
      </c>
      <c r="C30" s="2" t="s">
        <v>20</v>
      </c>
      <c r="D30" s="7">
        <v>0.05</v>
      </c>
      <c r="E30" s="8">
        <v>21.1</v>
      </c>
      <c r="F30" s="38">
        <f t="shared" ref="F30:F31" si="3">TRUNC(D30*E30,2)</f>
        <v>1.05</v>
      </c>
    </row>
    <row r="31" spans="1:10" s="125" customFormat="1" x14ac:dyDescent="0.25">
      <c r="A31" s="26" t="s">
        <v>70</v>
      </c>
      <c r="B31" s="14" t="s">
        <v>23</v>
      </c>
      <c r="C31" s="2" t="s">
        <v>20</v>
      </c>
      <c r="D31" s="7">
        <v>0.08</v>
      </c>
      <c r="E31" s="8">
        <v>16.829999999999998</v>
      </c>
      <c r="F31" s="38">
        <f t="shared" si="3"/>
        <v>1.34</v>
      </c>
    </row>
    <row r="32" spans="1:10" s="125" customFormat="1" ht="29.25" customHeight="1" x14ac:dyDescent="0.25">
      <c r="A32" s="112" t="s">
        <v>117</v>
      </c>
      <c r="B32" s="124" t="s">
        <v>115</v>
      </c>
      <c r="C32" s="112"/>
      <c r="D32" s="114"/>
      <c r="E32" s="115"/>
      <c r="F32" s="115">
        <f>TRUNC(F33+F34,2)</f>
        <v>5.27</v>
      </c>
    </row>
    <row r="33" spans="1:7" s="125" customFormat="1" x14ac:dyDescent="0.25">
      <c r="A33" s="1">
        <v>88310</v>
      </c>
      <c r="B33" s="101" t="s">
        <v>116</v>
      </c>
      <c r="C33" s="2" t="s">
        <v>20</v>
      </c>
      <c r="D33" s="3">
        <v>0.2</v>
      </c>
      <c r="E33" s="4">
        <v>22.17</v>
      </c>
      <c r="F33" s="38">
        <f t="shared" ref="F33:F34" si="4">TRUNC(D33*E33,2)</f>
        <v>4.43</v>
      </c>
    </row>
    <row r="34" spans="1:7" s="125" customFormat="1" x14ac:dyDescent="0.25">
      <c r="A34" s="1">
        <v>88316</v>
      </c>
      <c r="B34" s="101" t="s">
        <v>23</v>
      </c>
      <c r="C34" s="2" t="s">
        <v>20</v>
      </c>
      <c r="D34" s="3">
        <v>0.05</v>
      </c>
      <c r="E34" s="38">
        <v>16.829999999999998</v>
      </c>
      <c r="F34" s="38">
        <f t="shared" si="4"/>
        <v>0.84</v>
      </c>
    </row>
    <row r="35" spans="1:7" s="125" customFormat="1" ht="30" x14ac:dyDescent="0.25">
      <c r="A35" s="126" t="s">
        <v>121</v>
      </c>
      <c r="B35" s="127" t="s">
        <v>112</v>
      </c>
      <c r="C35" s="128" t="s">
        <v>0</v>
      </c>
      <c r="D35" s="129"/>
      <c r="E35" s="130"/>
      <c r="F35" s="115">
        <f>TRUNC(F36+F37+F38,2)</f>
        <v>11.48</v>
      </c>
      <c r="G35" s="291"/>
    </row>
    <row r="36" spans="1:7" s="125" customFormat="1" x14ac:dyDescent="0.25">
      <c r="A36" s="102" t="s">
        <v>118</v>
      </c>
      <c r="B36" s="103" t="s">
        <v>119</v>
      </c>
      <c r="C36" s="102" t="s">
        <v>120</v>
      </c>
      <c r="D36" s="104">
        <v>0.2</v>
      </c>
      <c r="E36" s="105">
        <f>557.99/18</f>
        <v>30.999444444444446</v>
      </c>
      <c r="F36" s="38">
        <f t="shared" ref="F36:F38" si="5">TRUNC(D36*E36,2)</f>
        <v>6.19</v>
      </c>
    </row>
    <row r="37" spans="1:7" s="125" customFormat="1" x14ac:dyDescent="0.25">
      <c r="A37" s="106">
        <v>88310</v>
      </c>
      <c r="B37" s="103" t="s">
        <v>116</v>
      </c>
      <c r="C37" s="102" t="s">
        <v>20</v>
      </c>
      <c r="D37" s="104">
        <v>0.20100000000000001</v>
      </c>
      <c r="E37" s="105">
        <v>22.17</v>
      </c>
      <c r="F37" s="38">
        <f t="shared" si="5"/>
        <v>4.45</v>
      </c>
    </row>
    <row r="38" spans="1:7" s="125" customFormat="1" x14ac:dyDescent="0.25">
      <c r="A38" s="106">
        <v>88316</v>
      </c>
      <c r="B38" s="103" t="s">
        <v>23</v>
      </c>
      <c r="C38" s="102" t="s">
        <v>20</v>
      </c>
      <c r="D38" s="104">
        <v>0.05</v>
      </c>
      <c r="E38" s="105">
        <v>16.829999999999998</v>
      </c>
      <c r="F38" s="38">
        <f t="shared" si="5"/>
        <v>0.84</v>
      </c>
    </row>
    <row r="39" spans="1:7" s="125" customFormat="1" ht="30" x14ac:dyDescent="0.25">
      <c r="A39" s="126" t="s">
        <v>122</v>
      </c>
      <c r="B39" s="127" t="s">
        <v>127</v>
      </c>
      <c r="C39" s="126" t="s">
        <v>0</v>
      </c>
      <c r="D39" s="132"/>
      <c r="E39" s="131"/>
      <c r="F39" s="115">
        <f>TRUNC(F40+F41+F42+F43,2)</f>
        <v>24.74</v>
      </c>
    </row>
    <row r="40" spans="1:7" s="125" customFormat="1" x14ac:dyDescent="0.25">
      <c r="A40" s="106">
        <v>88310</v>
      </c>
      <c r="B40" s="103" t="s">
        <v>116</v>
      </c>
      <c r="C40" s="102" t="s">
        <v>20</v>
      </c>
      <c r="D40" s="104">
        <v>0.2</v>
      </c>
      <c r="E40" s="105">
        <v>22.17</v>
      </c>
      <c r="F40" s="38">
        <f t="shared" ref="F40:F43" si="6">TRUNC(D40*E40,2)</f>
        <v>4.43</v>
      </c>
    </row>
    <row r="41" spans="1:7" s="125" customFormat="1" x14ac:dyDescent="0.25">
      <c r="A41" s="106">
        <v>88316</v>
      </c>
      <c r="B41" s="103" t="s">
        <v>23</v>
      </c>
      <c r="C41" s="102" t="s">
        <v>20</v>
      </c>
      <c r="D41" s="104">
        <v>7.5999999999999998E-2</v>
      </c>
      <c r="E41" s="105">
        <v>16.829999999999998</v>
      </c>
      <c r="F41" s="38">
        <f t="shared" si="6"/>
        <v>1.27</v>
      </c>
    </row>
    <row r="42" spans="1:7" s="125" customFormat="1" x14ac:dyDescent="0.25">
      <c r="A42" s="284">
        <v>34546</v>
      </c>
      <c r="B42" s="285" t="s">
        <v>125</v>
      </c>
      <c r="C42" s="284" t="s">
        <v>128</v>
      </c>
      <c r="D42" s="286">
        <v>1.93</v>
      </c>
      <c r="E42" s="287">
        <v>5.49</v>
      </c>
      <c r="F42" s="38">
        <f t="shared" si="6"/>
        <v>10.59</v>
      </c>
    </row>
    <row r="43" spans="1:7" s="125" customFormat="1" x14ac:dyDescent="0.25">
      <c r="A43" s="284" t="s">
        <v>118</v>
      </c>
      <c r="B43" s="288" t="s">
        <v>126</v>
      </c>
      <c r="C43" s="284" t="s">
        <v>120</v>
      </c>
      <c r="D43" s="286">
        <v>0.2</v>
      </c>
      <c r="E43" s="287">
        <f>760.99/18</f>
        <v>42.277222222222221</v>
      </c>
      <c r="F43" s="38">
        <f t="shared" si="6"/>
        <v>8.4499999999999993</v>
      </c>
    </row>
    <row r="44" spans="1:7" s="125" customFormat="1" ht="30" x14ac:dyDescent="0.25">
      <c r="A44" s="126" t="s">
        <v>130</v>
      </c>
      <c r="B44" s="127" t="s">
        <v>124</v>
      </c>
      <c r="C44" s="126" t="s">
        <v>0</v>
      </c>
      <c r="D44" s="132"/>
      <c r="E44" s="131"/>
      <c r="F44" s="115">
        <f>TRUNC(F45+F46+F47+F48,2)</f>
        <v>31.34</v>
      </c>
    </row>
    <row r="45" spans="1:7" s="125" customFormat="1" x14ac:dyDescent="0.25">
      <c r="A45" s="106">
        <v>88310</v>
      </c>
      <c r="B45" s="103" t="s">
        <v>116</v>
      </c>
      <c r="C45" s="102" t="s">
        <v>20</v>
      </c>
      <c r="D45" s="104">
        <v>0.2</v>
      </c>
      <c r="E45" s="105">
        <v>22.17</v>
      </c>
      <c r="F45" s="38">
        <f t="shared" ref="F45:F48" si="7">TRUNC(D45*E45,2)</f>
        <v>4.43</v>
      </c>
    </row>
    <row r="46" spans="1:7" s="125" customFormat="1" x14ac:dyDescent="0.25">
      <c r="A46" s="106">
        <v>88316</v>
      </c>
      <c r="B46" s="103" t="s">
        <v>23</v>
      </c>
      <c r="C46" s="102" t="s">
        <v>20</v>
      </c>
      <c r="D46" s="104">
        <v>7.5999999999999998E-2</v>
      </c>
      <c r="E46" s="105">
        <v>16.829999999999998</v>
      </c>
      <c r="F46" s="38">
        <f t="shared" si="7"/>
        <v>1.27</v>
      </c>
    </row>
    <row r="47" spans="1:7" s="125" customFormat="1" x14ac:dyDescent="0.25">
      <c r="A47" s="284">
        <v>34546</v>
      </c>
      <c r="B47" s="285" t="s">
        <v>125</v>
      </c>
      <c r="C47" s="284" t="s">
        <v>7</v>
      </c>
      <c r="D47" s="286">
        <v>1.93</v>
      </c>
      <c r="E47" s="287">
        <v>5.49</v>
      </c>
      <c r="F47" s="38">
        <f t="shared" si="7"/>
        <v>10.59</v>
      </c>
    </row>
    <row r="48" spans="1:7" s="125" customFormat="1" x14ac:dyDescent="0.25">
      <c r="A48" s="284" t="s">
        <v>118</v>
      </c>
      <c r="B48" s="288" t="s">
        <v>126</v>
      </c>
      <c r="C48" s="284" t="s">
        <v>120</v>
      </c>
      <c r="D48" s="286">
        <v>0.2</v>
      </c>
      <c r="E48" s="287">
        <f>1354.99/18</f>
        <v>75.277222222222221</v>
      </c>
      <c r="F48" s="38">
        <f t="shared" si="7"/>
        <v>15.05</v>
      </c>
    </row>
    <row r="49" spans="1:6" s="125" customFormat="1" ht="30" x14ac:dyDescent="0.25">
      <c r="A49" s="126" t="s">
        <v>198</v>
      </c>
      <c r="B49" s="127" t="s">
        <v>199</v>
      </c>
      <c r="C49" s="126" t="s">
        <v>0</v>
      </c>
      <c r="D49" s="132"/>
      <c r="E49" s="131"/>
      <c r="F49" s="131">
        <f>TRUNC(F50,2)</f>
        <v>2267.67</v>
      </c>
    </row>
    <row r="50" spans="1:6" s="193" customFormat="1" ht="28.5" x14ac:dyDescent="0.25">
      <c r="A50" s="64">
        <v>103669</v>
      </c>
      <c r="B50" s="86" t="s">
        <v>228</v>
      </c>
      <c r="C50" s="37" t="s">
        <v>186</v>
      </c>
      <c r="D50" s="284">
        <f>1.25*2</f>
        <v>2.5</v>
      </c>
      <c r="E50" s="284">
        <v>907.07</v>
      </c>
      <c r="F50" s="38">
        <f>TRUNC(D50*E50,2)</f>
        <v>2267.67</v>
      </c>
    </row>
    <row r="51" spans="1:6" s="125" customFormat="1" ht="24" customHeight="1" x14ac:dyDescent="0.25">
      <c r="A51" s="112" t="s">
        <v>201</v>
      </c>
      <c r="B51" s="113" t="s">
        <v>200</v>
      </c>
      <c r="C51" s="112" t="s">
        <v>6</v>
      </c>
      <c r="D51" s="114"/>
      <c r="E51" s="115"/>
      <c r="F51" s="115">
        <f>TRUNC(F52+F53+F54+F55,2)</f>
        <v>8.18</v>
      </c>
    </row>
    <row r="52" spans="1:6" s="125" customFormat="1" x14ac:dyDescent="0.25">
      <c r="A52" s="279">
        <v>142</v>
      </c>
      <c r="B52" s="289" t="s">
        <v>96</v>
      </c>
      <c r="C52" s="37" t="s">
        <v>22</v>
      </c>
      <c r="D52" s="37">
        <f>0.18/2</f>
        <v>0.09</v>
      </c>
      <c r="E52" s="38">
        <v>26.18</v>
      </c>
      <c r="F52" s="38">
        <f t="shared" ref="F52:F55" si="8">TRUNC(D52*E52,2)</f>
        <v>2.35</v>
      </c>
    </row>
    <row r="53" spans="1:6" s="125" customFormat="1" x14ac:dyDescent="0.25">
      <c r="A53" s="279">
        <v>5104</v>
      </c>
      <c r="B53" s="289" t="s">
        <v>97</v>
      </c>
      <c r="C53" s="37" t="s">
        <v>7</v>
      </c>
      <c r="D53" s="279">
        <f>0.0012/2</f>
        <v>5.9999999999999995E-4</v>
      </c>
      <c r="E53" s="38">
        <v>77.14</v>
      </c>
      <c r="F53" s="38">
        <f t="shared" si="8"/>
        <v>0.04</v>
      </c>
    </row>
    <row r="54" spans="1:6" s="125" customFormat="1" x14ac:dyDescent="0.25">
      <c r="A54" s="1">
        <v>88316</v>
      </c>
      <c r="B54" s="25" t="s">
        <v>23</v>
      </c>
      <c r="C54" s="2" t="s">
        <v>20</v>
      </c>
      <c r="D54" s="1">
        <f>0.207</f>
        <v>0.20699999999999999</v>
      </c>
      <c r="E54" s="4">
        <v>16.829999999999998</v>
      </c>
      <c r="F54" s="38">
        <f t="shared" si="8"/>
        <v>3.48</v>
      </c>
    </row>
    <row r="55" spans="1:6" s="125" customFormat="1" x14ac:dyDescent="0.25">
      <c r="A55" s="1">
        <v>88323</v>
      </c>
      <c r="B55" s="25" t="s">
        <v>24</v>
      </c>
      <c r="C55" s="2" t="s">
        <v>20</v>
      </c>
      <c r="D55" s="1">
        <f>0.112</f>
        <v>0.112</v>
      </c>
      <c r="E55" s="4">
        <v>20.66</v>
      </c>
      <c r="F55" s="38">
        <f t="shared" si="8"/>
        <v>2.31</v>
      </c>
    </row>
    <row r="56" spans="1:6" s="125" customFormat="1" x14ac:dyDescent="0.25">
      <c r="A56" s="112" t="s">
        <v>206</v>
      </c>
      <c r="B56" s="113" t="s">
        <v>200</v>
      </c>
      <c r="C56" s="112" t="s">
        <v>6</v>
      </c>
      <c r="D56" s="114"/>
      <c r="E56" s="115"/>
      <c r="F56" s="115">
        <f>TRUNC(F57+F58+F59,2)</f>
        <v>3.94</v>
      </c>
    </row>
    <row r="57" spans="1:6" s="125" customFormat="1" x14ac:dyDescent="0.25">
      <c r="A57" s="279">
        <v>151</v>
      </c>
      <c r="B57" s="289" t="s">
        <v>96</v>
      </c>
      <c r="C57" s="37" t="s">
        <v>120</v>
      </c>
      <c r="D57" s="37">
        <v>0.05</v>
      </c>
      <c r="E57" s="38">
        <v>21.18</v>
      </c>
      <c r="F57" s="38">
        <f t="shared" ref="F57:F59" si="9">TRUNC(D57*E57,2)</f>
        <v>1.05</v>
      </c>
    </row>
    <row r="58" spans="1:6" s="125" customFormat="1" x14ac:dyDescent="0.25">
      <c r="A58" s="1">
        <v>88316</v>
      </c>
      <c r="B58" s="25" t="s">
        <v>23</v>
      </c>
      <c r="C58" s="2" t="s">
        <v>20</v>
      </c>
      <c r="D58" s="1">
        <f>0.207/2</f>
        <v>0.10349999999999999</v>
      </c>
      <c r="E58" s="4">
        <v>16.829999999999998</v>
      </c>
      <c r="F58" s="38">
        <f t="shared" si="9"/>
        <v>1.74</v>
      </c>
    </row>
    <row r="59" spans="1:6" s="125" customFormat="1" x14ac:dyDescent="0.25">
      <c r="A59" s="1">
        <v>88323</v>
      </c>
      <c r="B59" s="25" t="s">
        <v>24</v>
      </c>
      <c r="C59" s="2" t="s">
        <v>20</v>
      </c>
      <c r="D59" s="1">
        <f>0.112/2</f>
        <v>5.6000000000000001E-2</v>
      </c>
      <c r="E59" s="4">
        <v>20.66</v>
      </c>
      <c r="F59" s="38">
        <f t="shared" si="9"/>
        <v>1.1499999999999999</v>
      </c>
    </row>
    <row r="60" spans="1:6" x14ac:dyDescent="0.25">
      <c r="F60" s="290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view="pageLayout" topLeftCell="A4" zoomScale="130" zoomScaleNormal="100" zoomScaleSheetLayoutView="110" zoomScalePageLayoutView="130" workbookViewId="0">
      <selection activeCell="C20" sqref="C20"/>
    </sheetView>
  </sheetViews>
  <sheetFormatPr defaultColWidth="9.140625" defaultRowHeight="19.7" customHeight="1" x14ac:dyDescent="0.25"/>
  <cols>
    <col min="1" max="1" width="13.5703125" style="169" customWidth="1"/>
    <col min="2" max="2" width="48.7109375" style="169" customWidth="1"/>
    <col min="3" max="3" width="16.28515625" style="169" bestFit="1" customWidth="1"/>
    <col min="4" max="4" width="12.140625" style="169" customWidth="1"/>
    <col min="5" max="5" width="16.28515625" style="169" bestFit="1" customWidth="1"/>
    <col min="6" max="6" width="12.140625" style="169" customWidth="1"/>
    <col min="7" max="7" width="16.85546875" style="169" customWidth="1"/>
    <col min="8" max="8" width="28.140625" style="169" customWidth="1"/>
    <col min="9" max="16384" width="9.140625" style="169"/>
  </cols>
  <sheetData>
    <row r="1" spans="1:9" ht="12.75" x14ac:dyDescent="0.25">
      <c r="A1" s="343" t="s">
        <v>222</v>
      </c>
      <c r="B1" s="344"/>
      <c r="C1" s="344"/>
      <c r="D1" s="344"/>
      <c r="E1" s="344"/>
      <c r="F1" s="344"/>
      <c r="G1" s="344"/>
      <c r="H1" s="345"/>
    </row>
    <row r="2" spans="1:9" ht="12.75" x14ac:dyDescent="0.25">
      <c r="A2" s="346"/>
      <c r="B2" s="347"/>
      <c r="C2" s="347"/>
      <c r="D2" s="347"/>
      <c r="E2" s="347"/>
      <c r="F2" s="347"/>
      <c r="G2" s="347"/>
      <c r="H2" s="348"/>
    </row>
    <row r="3" spans="1:9" ht="12.75" x14ac:dyDescent="0.25">
      <c r="A3" s="346"/>
      <c r="B3" s="347"/>
      <c r="C3" s="347"/>
      <c r="D3" s="347"/>
      <c r="E3" s="347"/>
      <c r="F3" s="347"/>
      <c r="G3" s="347"/>
      <c r="H3" s="348"/>
    </row>
    <row r="4" spans="1:9" ht="12.75" x14ac:dyDescent="0.25">
      <c r="A4" s="346"/>
      <c r="B4" s="347"/>
      <c r="C4" s="347"/>
      <c r="D4" s="347"/>
      <c r="E4" s="347"/>
      <c r="F4" s="347"/>
      <c r="G4" s="347"/>
      <c r="H4" s="348"/>
    </row>
    <row r="5" spans="1:9" ht="12.75" x14ac:dyDescent="0.25">
      <c r="A5" s="346"/>
      <c r="B5" s="349"/>
      <c r="C5" s="349"/>
      <c r="D5" s="349"/>
      <c r="E5" s="349"/>
      <c r="F5" s="349"/>
      <c r="G5" s="347"/>
      <c r="H5" s="348"/>
    </row>
    <row r="6" spans="1:9" s="170" customFormat="1" ht="13.5" customHeight="1" x14ac:dyDescent="0.25">
      <c r="A6" s="264" t="s">
        <v>145</v>
      </c>
      <c r="B6" s="321" t="s">
        <v>219</v>
      </c>
      <c r="C6" s="321"/>
      <c r="D6" s="321"/>
      <c r="E6" s="321"/>
      <c r="F6" s="321"/>
      <c r="G6" s="350" t="s">
        <v>184</v>
      </c>
      <c r="H6" s="351" t="s">
        <v>237</v>
      </c>
    </row>
    <row r="7" spans="1:9" s="170" customFormat="1" ht="13.5" customHeight="1" x14ac:dyDescent="0.25">
      <c r="A7" s="189" t="s">
        <v>146</v>
      </c>
      <c r="B7" s="321" t="s">
        <v>215</v>
      </c>
      <c r="C7" s="321"/>
      <c r="D7" s="321"/>
      <c r="E7" s="321"/>
      <c r="F7" s="321"/>
      <c r="G7" s="350"/>
      <c r="H7" s="351"/>
    </row>
    <row r="8" spans="1:9" s="170" customFormat="1" ht="13.5" customHeight="1" x14ac:dyDescent="0.25">
      <c r="A8" s="189" t="s">
        <v>147</v>
      </c>
      <c r="B8" s="321" t="s">
        <v>216</v>
      </c>
      <c r="C8" s="321"/>
      <c r="D8" s="321"/>
      <c r="E8" s="321"/>
      <c r="F8" s="321"/>
      <c r="G8" s="350" t="str">
        <f>[2]RESUMO!C8</f>
        <v>BDI:</v>
      </c>
      <c r="H8" s="353">
        <v>0.28349999999999997</v>
      </c>
    </row>
    <row r="9" spans="1:9" s="170" customFormat="1" ht="13.5" customHeight="1" thickBot="1" x14ac:dyDescent="0.3">
      <c r="A9" s="190" t="s">
        <v>148</v>
      </c>
      <c r="B9" s="355" t="s">
        <v>223</v>
      </c>
      <c r="C9" s="355"/>
      <c r="D9" s="355"/>
      <c r="E9" s="355"/>
      <c r="F9" s="355"/>
      <c r="G9" s="352"/>
      <c r="H9" s="354"/>
    </row>
    <row r="10" spans="1:9" ht="12.75" x14ac:dyDescent="0.25">
      <c r="A10" s="341"/>
      <c r="B10" s="341"/>
      <c r="C10" s="341"/>
      <c r="D10" s="341"/>
      <c r="E10" s="341"/>
      <c r="F10" s="341"/>
      <c r="G10" s="341"/>
      <c r="H10" s="341"/>
      <c r="I10" s="171"/>
    </row>
    <row r="11" spans="1:9" ht="19.7" customHeight="1" x14ac:dyDescent="0.25">
      <c r="A11" s="177" t="s">
        <v>149</v>
      </c>
      <c r="B11" s="177" t="s">
        <v>178</v>
      </c>
      <c r="C11" s="177" t="s">
        <v>179</v>
      </c>
      <c r="D11" s="177" t="s">
        <v>180</v>
      </c>
      <c r="E11" s="177" t="s">
        <v>181</v>
      </c>
      <c r="F11" s="177" t="s">
        <v>180</v>
      </c>
      <c r="G11" s="177" t="s">
        <v>180</v>
      </c>
      <c r="H11" s="177" t="s">
        <v>76</v>
      </c>
    </row>
    <row r="12" spans="1:9" ht="17.100000000000001" customHeight="1" x14ac:dyDescent="0.25">
      <c r="A12" s="178">
        <f>'P. Referência'!B8</f>
        <v>1</v>
      </c>
      <c r="B12" s="179" t="str">
        <f>'P. Referência'!D8</f>
        <v>ADMINISTRAÇÃO DA OBRA</v>
      </c>
      <c r="C12" s="172">
        <f>RESUMO!D11</f>
        <v>4482.5599999999995</v>
      </c>
      <c r="D12" s="180">
        <v>1</v>
      </c>
      <c r="E12" s="172">
        <f>$C12*F12</f>
        <v>4482.5599999999995</v>
      </c>
      <c r="F12" s="181">
        <v>1</v>
      </c>
      <c r="G12" s="181">
        <f>F12</f>
        <v>1</v>
      </c>
      <c r="H12" s="173">
        <f>E12</f>
        <v>4482.5599999999995</v>
      </c>
    </row>
    <row r="13" spans="1:9" ht="17.100000000000001" customHeight="1" x14ac:dyDescent="0.25">
      <c r="A13" s="178">
        <f>'P. Referência'!B13</f>
        <v>2</v>
      </c>
      <c r="B13" s="179" t="str">
        <f>'P. Referência'!D13</f>
        <v>SERVIÇOS PRELIMINARES</v>
      </c>
      <c r="C13" s="172">
        <f>RESUMO!D12</f>
        <v>1919.02</v>
      </c>
      <c r="D13" s="180">
        <v>1</v>
      </c>
      <c r="E13" s="172">
        <f t="shared" ref="E13:E18" si="0">$C13*F13</f>
        <v>1919.02</v>
      </c>
      <c r="F13" s="181">
        <v>1</v>
      </c>
      <c r="G13" s="181">
        <f t="shared" ref="G13:G18" si="1">F13</f>
        <v>1</v>
      </c>
      <c r="H13" s="173">
        <f t="shared" ref="H13:H18" si="2">E13</f>
        <v>1919.02</v>
      </c>
    </row>
    <row r="14" spans="1:9" ht="17.100000000000001" customHeight="1" x14ac:dyDescent="0.25">
      <c r="A14" s="178">
        <f>'P. Referência'!B19</f>
        <v>3</v>
      </c>
      <c r="B14" s="179" t="str">
        <f>'P. Referência'!D19</f>
        <v>MOBILIZAÇÃO E DESMOBILIZAÇÃO DE OBRA</v>
      </c>
      <c r="C14" s="172">
        <f>RESUMO!D13</f>
        <v>1100.54</v>
      </c>
      <c r="D14" s="180">
        <v>1</v>
      </c>
      <c r="E14" s="172">
        <f t="shared" si="0"/>
        <v>1100.54</v>
      </c>
      <c r="F14" s="181">
        <v>1</v>
      </c>
      <c r="G14" s="181">
        <f t="shared" si="1"/>
        <v>1</v>
      </c>
      <c r="H14" s="173">
        <f t="shared" si="2"/>
        <v>1100.54</v>
      </c>
    </row>
    <row r="15" spans="1:9" ht="17.100000000000001" customHeight="1" x14ac:dyDescent="0.25">
      <c r="A15" s="315">
        <v>4</v>
      </c>
      <c r="B15" s="179" t="str">
        <f>'P. Referência'!D24</f>
        <v>REPARO E ADEQUAÇÃO DE MURO EXTERNO</v>
      </c>
      <c r="C15" s="172">
        <f>RESUMO!D14</f>
        <v>99788.36</v>
      </c>
      <c r="D15" s="180">
        <v>1</v>
      </c>
      <c r="E15" s="172">
        <f t="shared" si="0"/>
        <v>99788.36</v>
      </c>
      <c r="F15" s="181">
        <v>1</v>
      </c>
      <c r="G15" s="181">
        <f t="shared" si="1"/>
        <v>1</v>
      </c>
      <c r="H15" s="173">
        <f t="shared" si="2"/>
        <v>99788.36</v>
      </c>
    </row>
    <row r="16" spans="1:9" ht="17.100000000000001" customHeight="1" x14ac:dyDescent="0.25">
      <c r="A16" s="315">
        <v>5</v>
      </c>
      <c r="B16" s="179" t="str">
        <f>'P. Referência'!D38</f>
        <v>PINTURA</v>
      </c>
      <c r="C16" s="172">
        <f>RESUMO!D15</f>
        <v>42273.27</v>
      </c>
      <c r="D16" s="180">
        <v>1</v>
      </c>
      <c r="E16" s="172">
        <f t="shared" si="0"/>
        <v>42273.27</v>
      </c>
      <c r="F16" s="181">
        <v>1</v>
      </c>
      <c r="G16" s="181">
        <f t="shared" si="1"/>
        <v>1</v>
      </c>
      <c r="H16" s="173">
        <f t="shared" si="2"/>
        <v>42273.27</v>
      </c>
    </row>
    <row r="17" spans="1:8" ht="17.100000000000001" customHeight="1" x14ac:dyDescent="0.25">
      <c r="A17" s="315">
        <v>6</v>
      </c>
      <c r="B17" s="179" t="str">
        <f>'P. Referência'!D52</f>
        <v>INSTALAÇÕES ELÉTRICAS</v>
      </c>
      <c r="C17" s="172">
        <f>RESUMO!D16</f>
        <v>1479.27</v>
      </c>
      <c r="D17" s="180">
        <v>1</v>
      </c>
      <c r="E17" s="172">
        <f t="shared" si="0"/>
        <v>1479.27</v>
      </c>
      <c r="F17" s="181">
        <v>1</v>
      </c>
      <c r="G17" s="181">
        <f t="shared" si="1"/>
        <v>1</v>
      </c>
      <c r="H17" s="173">
        <f t="shared" si="2"/>
        <v>1479.27</v>
      </c>
    </row>
    <row r="18" spans="1:8" ht="17.100000000000001" customHeight="1" x14ac:dyDescent="0.25">
      <c r="A18" s="315">
        <v>7</v>
      </c>
      <c r="B18" s="179" t="str">
        <f>RESUMO!C17</f>
        <v>RESERVATÓRIO DE AGUAS</v>
      </c>
      <c r="C18" s="172">
        <f>RESUMO!D17</f>
        <v>8143.65</v>
      </c>
      <c r="D18" s="180">
        <v>1</v>
      </c>
      <c r="E18" s="172">
        <f t="shared" si="0"/>
        <v>8143.65</v>
      </c>
      <c r="F18" s="181">
        <v>1</v>
      </c>
      <c r="G18" s="181">
        <f t="shared" si="1"/>
        <v>1</v>
      </c>
      <c r="H18" s="173">
        <f t="shared" si="2"/>
        <v>8143.65</v>
      </c>
    </row>
    <row r="19" spans="1:8" ht="17.100000000000001" customHeight="1" x14ac:dyDescent="0.25">
      <c r="A19" s="315">
        <v>8</v>
      </c>
      <c r="B19" s="314" t="str">
        <f>RESUMO!C18</f>
        <v>SERVIÇOS COMPLEMENTARES</v>
      </c>
      <c r="C19" s="172">
        <f>RESUMO!D18</f>
        <v>1988.92</v>
      </c>
      <c r="D19" s="180">
        <v>1</v>
      </c>
      <c r="E19" s="172">
        <f t="shared" ref="E19" si="3">$C19*F19</f>
        <v>1988.92</v>
      </c>
      <c r="F19" s="181">
        <v>1</v>
      </c>
      <c r="G19" s="181">
        <f t="shared" ref="G19" si="4">F19</f>
        <v>1</v>
      </c>
      <c r="H19" s="173">
        <f t="shared" ref="H19" si="5">E19</f>
        <v>1988.92</v>
      </c>
    </row>
    <row r="20" spans="1:8" ht="19.7" customHeight="1" x14ac:dyDescent="0.25">
      <c r="A20" s="342" t="s">
        <v>182</v>
      </c>
      <c r="B20" s="342"/>
      <c r="C20" s="174">
        <f>SUM(C12:C19)</f>
        <v>161175.59</v>
      </c>
      <c r="D20" s="182">
        <f>SUM(D12:D18)/7</f>
        <v>1</v>
      </c>
      <c r="E20" s="183">
        <f>SUM(E12:E19)</f>
        <v>161175.59</v>
      </c>
      <c r="F20" s="184">
        <f>E20/C20</f>
        <v>1</v>
      </c>
      <c r="G20" s="188">
        <f>SUM(G12:G18)/7</f>
        <v>1</v>
      </c>
      <c r="H20" s="187">
        <f>SUM(H12:H19)</f>
        <v>161175.59</v>
      </c>
    </row>
    <row r="21" spans="1:8" ht="19.7" customHeight="1" x14ac:dyDescent="0.25">
      <c r="A21" s="342" t="s">
        <v>183</v>
      </c>
      <c r="B21" s="342"/>
      <c r="C21" s="175"/>
      <c r="D21" s="176"/>
      <c r="E21" s="186">
        <f>E20</f>
        <v>161175.59</v>
      </c>
      <c r="F21" s="182">
        <f>F20</f>
        <v>1</v>
      </c>
      <c r="G21" s="182"/>
      <c r="H21" s="185"/>
    </row>
  </sheetData>
  <mergeCells count="12">
    <mergeCell ref="A10:H10"/>
    <mergeCell ref="A20:B20"/>
    <mergeCell ref="A21:B21"/>
    <mergeCell ref="A1:H5"/>
    <mergeCell ref="B6:F6"/>
    <mergeCell ref="G6:G7"/>
    <mergeCell ref="H6:H7"/>
    <mergeCell ref="B7:F7"/>
    <mergeCell ref="B8:F8"/>
    <mergeCell ref="G8:G9"/>
    <mergeCell ref="H8:H9"/>
    <mergeCell ref="B9:F9"/>
  </mergeCells>
  <pageMargins left="0.78740157480314965" right="1.7322834645669292" top="0.78740157480314965" bottom="0.98425196850393704" header="0.78740157480314965" footer="0.31496062992125984"/>
  <pageSetup paperSize="9" scale="71" orientation="landscape" r:id="rId1"/>
  <headerFooter>
    <oddHeader xml:space="preserve">&amp;R  </oddHeader>
    <oddFooter>&amp;RPágina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view="pageBreakPreview" zoomScale="115" zoomScaleNormal="100" zoomScaleSheetLayoutView="115" zoomScalePageLayoutView="130" workbookViewId="0">
      <selection sqref="A1:G5"/>
    </sheetView>
  </sheetViews>
  <sheetFormatPr defaultColWidth="9.140625" defaultRowHeight="12.75" x14ac:dyDescent="0.2"/>
  <cols>
    <col min="1" max="1" width="10.28515625" style="133" customWidth="1"/>
    <col min="2" max="2" width="10.42578125" style="133" customWidth="1"/>
    <col min="3" max="3" width="52.85546875" style="133" customWidth="1"/>
    <col min="4" max="4" width="9.28515625" style="133" customWidth="1"/>
    <col min="5" max="5" width="17.28515625" style="133" customWidth="1"/>
    <col min="6" max="6" width="10.5703125" style="133" customWidth="1"/>
    <col min="7" max="7" width="18" style="133" bestFit="1" customWidth="1"/>
    <col min="8" max="8" width="15.42578125" style="133" hidden="1" customWidth="1"/>
    <col min="9" max="10" width="0" style="133" hidden="1" customWidth="1"/>
    <col min="11" max="11" width="15.7109375" style="133" hidden="1" customWidth="1"/>
    <col min="12" max="13" width="0" style="133" hidden="1" customWidth="1"/>
    <col min="14" max="16384" width="9.140625" style="133"/>
  </cols>
  <sheetData>
    <row r="1" spans="1:11" ht="15" customHeight="1" x14ac:dyDescent="0.2">
      <c r="A1" s="415" t="s">
        <v>144</v>
      </c>
      <c r="B1" s="416"/>
      <c r="C1" s="416"/>
      <c r="D1" s="416"/>
      <c r="E1" s="416"/>
      <c r="F1" s="416"/>
      <c r="G1" s="417"/>
    </row>
    <row r="2" spans="1:11" ht="15" customHeight="1" x14ac:dyDescent="0.2">
      <c r="A2" s="418"/>
      <c r="B2" s="419"/>
      <c r="C2" s="419"/>
      <c r="D2" s="419"/>
      <c r="E2" s="419"/>
      <c r="F2" s="419"/>
      <c r="G2" s="420"/>
    </row>
    <row r="3" spans="1:11" ht="15" customHeight="1" x14ac:dyDescent="0.2">
      <c r="A3" s="418"/>
      <c r="B3" s="419"/>
      <c r="C3" s="419"/>
      <c r="D3" s="419"/>
      <c r="E3" s="419"/>
      <c r="F3" s="419"/>
      <c r="G3" s="420"/>
    </row>
    <row r="4" spans="1:11" ht="15" customHeight="1" x14ac:dyDescent="0.2">
      <c r="A4" s="418"/>
      <c r="B4" s="419"/>
      <c r="C4" s="419"/>
      <c r="D4" s="419"/>
      <c r="E4" s="419"/>
      <c r="F4" s="419"/>
      <c r="G4" s="420"/>
    </row>
    <row r="5" spans="1:11" ht="15" customHeight="1" thickBot="1" x14ac:dyDescent="0.25">
      <c r="A5" s="421"/>
      <c r="B5" s="422"/>
      <c r="C5" s="422"/>
      <c r="D5" s="422"/>
      <c r="E5" s="422"/>
      <c r="F5" s="422"/>
      <c r="G5" s="423"/>
    </row>
    <row r="6" spans="1:11" ht="15" customHeight="1" thickBot="1" x14ac:dyDescent="0.25">
      <c r="A6" s="134" t="s">
        <v>145</v>
      </c>
      <c r="B6" s="410" t="s">
        <v>219</v>
      </c>
      <c r="C6" s="411"/>
      <c r="D6" s="411"/>
      <c r="E6" s="412"/>
      <c r="F6" s="413" t="str">
        <f>[3]RESUMO!C6</f>
        <v>REF.:</v>
      </c>
      <c r="G6" s="351" t="s">
        <v>237</v>
      </c>
      <c r="H6" s="135"/>
    </row>
    <row r="7" spans="1:11" ht="15" customHeight="1" thickBot="1" x14ac:dyDescent="0.25">
      <c r="A7" s="134" t="s">
        <v>146</v>
      </c>
      <c r="B7" s="410" t="s">
        <v>215</v>
      </c>
      <c r="C7" s="411"/>
      <c r="D7" s="411"/>
      <c r="E7" s="412"/>
      <c r="F7" s="413"/>
      <c r="G7" s="351"/>
      <c r="H7" s="136"/>
    </row>
    <row r="8" spans="1:11" ht="15" customHeight="1" thickBot="1" x14ac:dyDescent="0.25">
      <c r="A8" s="134" t="s">
        <v>147</v>
      </c>
      <c r="B8" s="410" t="s">
        <v>216</v>
      </c>
      <c r="C8" s="411"/>
      <c r="D8" s="411"/>
      <c r="E8" s="412"/>
      <c r="F8" s="413" t="str">
        <f>[3]RESUMO!C8</f>
        <v>BDI:</v>
      </c>
      <c r="G8" s="414">
        <f>G25</f>
        <v>28.347674918197008</v>
      </c>
      <c r="H8" s="136"/>
    </row>
    <row r="9" spans="1:11" ht="15" customHeight="1" thickBot="1" x14ac:dyDescent="0.25">
      <c r="A9" s="137" t="s">
        <v>148</v>
      </c>
      <c r="B9" s="410" t="s">
        <v>223</v>
      </c>
      <c r="C9" s="411"/>
      <c r="D9" s="411"/>
      <c r="E9" s="412"/>
      <c r="F9" s="413"/>
      <c r="G9" s="414"/>
      <c r="H9" s="136"/>
    </row>
    <row r="10" spans="1:11" ht="30.75" thickBot="1" x14ac:dyDescent="0.3">
      <c r="A10" s="138" t="s">
        <v>149</v>
      </c>
      <c r="B10" s="388" t="s">
        <v>150</v>
      </c>
      <c r="C10" s="389"/>
      <c r="D10" s="389"/>
      <c r="E10" s="389"/>
      <c r="F10" s="390"/>
      <c r="G10" s="139" t="s">
        <v>151</v>
      </c>
    </row>
    <row r="11" spans="1:11" ht="15.75" thickBot="1" x14ac:dyDescent="0.25">
      <c r="A11" s="140" t="s">
        <v>152</v>
      </c>
      <c r="B11" s="391" t="s">
        <v>27</v>
      </c>
      <c r="C11" s="392"/>
      <c r="D11" s="392"/>
      <c r="E11" s="392"/>
      <c r="F11" s="393"/>
      <c r="G11" s="141">
        <f>G12+G13+G14+G15</f>
        <v>7.3</v>
      </c>
      <c r="I11" s="142" t="s">
        <v>153</v>
      </c>
      <c r="J11" s="142" t="s">
        <v>154</v>
      </c>
    </row>
    <row r="12" spans="1:11" ht="13.5" thickBot="1" x14ac:dyDescent="0.25">
      <c r="A12" s="143" t="s">
        <v>81</v>
      </c>
      <c r="B12" s="394" t="s">
        <v>155</v>
      </c>
      <c r="C12" s="395"/>
      <c r="D12" s="396"/>
      <c r="E12" s="396"/>
      <c r="F12" s="397"/>
      <c r="G12" s="144">
        <v>4</v>
      </c>
      <c r="I12" s="145">
        <v>5.5</v>
      </c>
      <c r="J12" s="146">
        <v>3</v>
      </c>
      <c r="K12" s="133">
        <f>G12/100</f>
        <v>0.04</v>
      </c>
    </row>
    <row r="13" spans="1:11" ht="13.5" thickBot="1" x14ac:dyDescent="0.25">
      <c r="A13" s="147" t="s">
        <v>32</v>
      </c>
      <c r="B13" s="368" t="s">
        <v>156</v>
      </c>
      <c r="C13" s="387"/>
      <c r="D13" s="370"/>
      <c r="E13" s="370"/>
      <c r="F13" s="371"/>
      <c r="G13" s="148">
        <v>1.23</v>
      </c>
      <c r="I13" s="145">
        <v>1.39</v>
      </c>
      <c r="J13" s="146">
        <v>0.59</v>
      </c>
      <c r="K13" s="133">
        <f>G13/100</f>
        <v>1.23E-2</v>
      </c>
    </row>
    <row r="14" spans="1:11" ht="13.5" thickBot="1" x14ac:dyDescent="0.25">
      <c r="A14" s="149" t="s">
        <v>157</v>
      </c>
      <c r="B14" s="368" t="s">
        <v>158</v>
      </c>
      <c r="C14" s="387"/>
      <c r="D14" s="370"/>
      <c r="E14" s="370"/>
      <c r="F14" s="371"/>
      <c r="G14" s="148">
        <v>1.27</v>
      </c>
      <c r="I14" s="145">
        <v>1.27</v>
      </c>
      <c r="J14" s="146">
        <v>0.97</v>
      </c>
      <c r="K14" s="133">
        <f>G14/100</f>
        <v>1.2699999999999999E-2</v>
      </c>
    </row>
    <row r="15" spans="1:11" ht="13.5" thickBot="1" x14ac:dyDescent="0.25">
      <c r="A15" s="149" t="s">
        <v>159</v>
      </c>
      <c r="B15" s="398" t="s">
        <v>160</v>
      </c>
      <c r="C15" s="399"/>
      <c r="D15" s="400"/>
      <c r="E15" s="400"/>
      <c r="F15" s="401"/>
      <c r="G15" s="150">
        <v>0.8</v>
      </c>
      <c r="I15" s="151">
        <v>1</v>
      </c>
      <c r="J15" s="152">
        <v>0.8</v>
      </c>
      <c r="K15" s="133">
        <f>G15/100</f>
        <v>8.0000000000000002E-3</v>
      </c>
    </row>
    <row r="16" spans="1:11" ht="13.5" thickBot="1" x14ac:dyDescent="0.25">
      <c r="A16" s="140" t="s">
        <v>161</v>
      </c>
      <c r="B16" s="391" t="s">
        <v>162</v>
      </c>
      <c r="C16" s="402"/>
      <c r="D16" s="403"/>
      <c r="E16" s="403"/>
      <c r="F16" s="404"/>
      <c r="G16" s="141">
        <f>G17</f>
        <v>7.4</v>
      </c>
    </row>
    <row r="17" spans="1:14" ht="13.5" thickBot="1" x14ac:dyDescent="0.25">
      <c r="A17" s="153" t="s">
        <v>33</v>
      </c>
      <c r="B17" s="405" t="s">
        <v>163</v>
      </c>
      <c r="C17" s="406"/>
      <c r="D17" s="407"/>
      <c r="E17" s="407"/>
      <c r="F17" s="408"/>
      <c r="G17" s="154">
        <v>7.4</v>
      </c>
      <c r="I17" s="145">
        <v>8.9600000000000009</v>
      </c>
      <c r="J17" s="146">
        <v>6.16</v>
      </c>
      <c r="K17" s="133">
        <f>G17/100</f>
        <v>7.400000000000001E-2</v>
      </c>
    </row>
    <row r="18" spans="1:14" ht="13.5" thickBot="1" x14ac:dyDescent="0.25">
      <c r="A18" s="140" t="s">
        <v>164</v>
      </c>
      <c r="B18" s="391" t="s">
        <v>165</v>
      </c>
      <c r="C18" s="402"/>
      <c r="D18" s="403"/>
      <c r="E18" s="403"/>
      <c r="F18" s="404"/>
      <c r="G18" s="141">
        <f>G19+G20+G21+G22</f>
        <v>10.15</v>
      </c>
      <c r="I18" s="155"/>
      <c r="J18" s="155"/>
      <c r="K18" s="133">
        <f>SUM(K19:K22)</f>
        <v>0.10150000000000001</v>
      </c>
    </row>
    <row r="19" spans="1:14" x14ac:dyDescent="0.2">
      <c r="A19" s="156" t="s">
        <v>34</v>
      </c>
      <c r="B19" s="394" t="s">
        <v>166</v>
      </c>
      <c r="C19" s="409"/>
      <c r="D19" s="396"/>
      <c r="E19" s="396"/>
      <c r="F19" s="397"/>
      <c r="G19" s="157">
        <v>2</v>
      </c>
      <c r="I19" s="155"/>
      <c r="J19" s="155"/>
      <c r="K19" s="133">
        <f>G19/100</f>
        <v>0.02</v>
      </c>
    </row>
    <row r="20" spans="1:14" x14ac:dyDescent="0.2">
      <c r="A20" s="158" t="s">
        <v>31</v>
      </c>
      <c r="B20" s="368" t="s">
        <v>167</v>
      </c>
      <c r="C20" s="369"/>
      <c r="D20" s="370"/>
      <c r="E20" s="370"/>
      <c r="F20" s="371"/>
      <c r="G20" s="159">
        <v>3</v>
      </c>
      <c r="I20" s="155"/>
      <c r="J20" s="155"/>
      <c r="K20" s="133">
        <f>G20/100</f>
        <v>0.03</v>
      </c>
    </row>
    <row r="21" spans="1:14" x14ac:dyDescent="0.2">
      <c r="A21" s="160" t="s">
        <v>168</v>
      </c>
      <c r="B21" s="368" t="s">
        <v>169</v>
      </c>
      <c r="C21" s="387"/>
      <c r="D21" s="370"/>
      <c r="E21" s="370"/>
      <c r="F21" s="371"/>
      <c r="G21" s="161">
        <v>0.65</v>
      </c>
      <c r="I21" s="155"/>
      <c r="J21" s="155"/>
      <c r="K21" s="133">
        <f>G21/100</f>
        <v>6.5000000000000006E-3</v>
      </c>
    </row>
    <row r="22" spans="1:14" x14ac:dyDescent="0.2">
      <c r="A22" s="158" t="s">
        <v>170</v>
      </c>
      <c r="B22" s="368" t="s">
        <v>171</v>
      </c>
      <c r="C22" s="369"/>
      <c r="D22" s="370"/>
      <c r="E22" s="370"/>
      <c r="F22" s="371"/>
      <c r="G22" s="159">
        <v>4.5</v>
      </c>
      <c r="I22" s="155"/>
      <c r="J22" s="155"/>
      <c r="K22" s="162">
        <f>G22/100</f>
        <v>4.4999999999999998E-2</v>
      </c>
    </row>
    <row r="23" spans="1:14" ht="13.5" thickBot="1" x14ac:dyDescent="0.25">
      <c r="A23" s="372" t="s">
        <v>172</v>
      </c>
      <c r="B23" s="373"/>
      <c r="C23" s="373"/>
      <c r="D23" s="373"/>
      <c r="E23" s="373"/>
      <c r="F23" s="373"/>
      <c r="G23" s="374"/>
      <c r="I23" s="155"/>
      <c r="J23" s="155"/>
    </row>
    <row r="24" spans="1:14" ht="26.25" thickBot="1" x14ac:dyDescent="0.4">
      <c r="A24" s="375" t="s">
        <v>173</v>
      </c>
      <c r="B24" s="376"/>
      <c r="C24" s="376"/>
      <c r="D24" s="376"/>
      <c r="E24" s="376"/>
      <c r="F24" s="376"/>
      <c r="G24" s="377"/>
      <c r="I24" s="155"/>
      <c r="J24" s="155"/>
      <c r="K24" s="163">
        <f>(((1+$K$12+$K$15+$K$14)*(1+$K$13)*(1+$K$17)/(1-K18))-1)*100</f>
        <v>28.347674918197008</v>
      </c>
    </row>
    <row r="25" spans="1:14" ht="30.75" customHeight="1" thickBot="1" x14ac:dyDescent="0.25">
      <c r="A25" s="378" t="s">
        <v>174</v>
      </c>
      <c r="B25" s="379"/>
      <c r="C25" s="379"/>
      <c r="D25" s="379"/>
      <c r="E25" s="379"/>
      <c r="F25" s="380"/>
      <c r="G25" s="164">
        <f>(((1+$K$12+$K$15+$K$14)*(1+$K$13)*(1+$K$17)/(1-K18))-1)*100</f>
        <v>28.347674918197008</v>
      </c>
      <c r="I25" s="155"/>
      <c r="J25" s="155"/>
    </row>
    <row r="26" spans="1:14" ht="16.5" thickBot="1" x14ac:dyDescent="0.3">
      <c r="A26" s="381" t="s">
        <v>175</v>
      </c>
      <c r="B26" s="382"/>
      <c r="C26" s="382"/>
      <c r="D26" s="382"/>
      <c r="E26" s="382"/>
      <c r="F26" s="383"/>
      <c r="G26" s="165">
        <f>RESUMO!D19</f>
        <v>161175.59</v>
      </c>
      <c r="I26" s="166"/>
      <c r="J26" s="166"/>
    </row>
    <row r="27" spans="1:14" ht="13.5" thickBot="1" x14ac:dyDescent="0.25">
      <c r="A27" s="384" t="s">
        <v>176</v>
      </c>
      <c r="B27" s="385"/>
      <c r="C27" s="385"/>
      <c r="D27" s="385"/>
      <c r="E27" s="385"/>
      <c r="F27" s="385"/>
      <c r="G27" s="386"/>
      <c r="I27" s="162"/>
      <c r="J27" s="162"/>
    </row>
    <row r="28" spans="1:14" ht="16.5" thickBot="1" x14ac:dyDescent="0.25">
      <c r="A28" s="356" t="s">
        <v>177</v>
      </c>
      <c r="B28" s="357"/>
      <c r="C28" s="357"/>
      <c r="D28" s="357"/>
      <c r="E28" s="357"/>
      <c r="F28" s="357"/>
      <c r="G28" s="358"/>
      <c r="I28" s="162"/>
      <c r="J28" s="162"/>
      <c r="N28" s="167"/>
    </row>
    <row r="29" spans="1:14" x14ac:dyDescent="0.2">
      <c r="A29" s="359"/>
      <c r="B29" s="360"/>
      <c r="C29" s="360"/>
      <c r="D29" s="360"/>
      <c r="E29" s="360"/>
      <c r="F29" s="360"/>
      <c r="G29" s="361"/>
    </row>
    <row r="30" spans="1:14" ht="18.75" x14ac:dyDescent="0.25">
      <c r="A30" s="362"/>
      <c r="B30" s="363"/>
      <c r="C30" s="363"/>
      <c r="D30" s="363"/>
      <c r="E30" s="363"/>
      <c r="F30" s="363"/>
      <c r="G30" s="364"/>
      <c r="H30" s="168"/>
    </row>
    <row r="31" spans="1:14" ht="18.75" x14ac:dyDescent="0.25">
      <c r="A31" s="362"/>
      <c r="B31" s="363"/>
      <c r="C31" s="363"/>
      <c r="D31" s="363"/>
      <c r="E31" s="363"/>
      <c r="F31" s="363"/>
      <c r="G31" s="364"/>
      <c r="H31" s="168"/>
    </row>
    <row r="32" spans="1:14" ht="13.5" thickBot="1" x14ac:dyDescent="0.25">
      <c r="A32" s="365"/>
      <c r="B32" s="366"/>
      <c r="C32" s="366"/>
      <c r="D32" s="366"/>
      <c r="E32" s="366"/>
      <c r="F32" s="366"/>
      <c r="G32" s="367"/>
    </row>
  </sheetData>
  <mergeCells count="29">
    <mergeCell ref="B8:E8"/>
    <mergeCell ref="F8:F9"/>
    <mergeCell ref="G8:G9"/>
    <mergeCell ref="B9:E9"/>
    <mergeCell ref="A1:G5"/>
    <mergeCell ref="B6:E6"/>
    <mergeCell ref="F6:F7"/>
    <mergeCell ref="G6:G7"/>
    <mergeCell ref="B7:E7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A28:G28"/>
    <mergeCell ref="A29:G32"/>
    <mergeCell ref="B22:F22"/>
    <mergeCell ref="A23:G23"/>
    <mergeCell ref="A24:G24"/>
    <mergeCell ref="A25:F25"/>
    <mergeCell ref="A26:F26"/>
    <mergeCell ref="A27:G27"/>
  </mergeCells>
  <pageMargins left="0.78740157480314965" right="0.39370078740157483" top="0.78740157480314965" bottom="0.98425196850393704" header="0.78740157480314965" footer="0.31496062992125984"/>
  <pageSetup paperSize="9" scale="70" orientation="portrait" r:id="rId1"/>
  <headerFooter>
    <oddFooter>&amp;RPágina &amp;P de &amp;N</oddFooter>
  </headerFooter>
  <colBreaks count="1" manualBreakCount="1">
    <brk id="7" max="3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25"/>
  <sheetViews>
    <sheetView workbookViewId="0">
      <pane ySplit="3" topLeftCell="A4" activePane="bottomLeft" state="frozen"/>
      <selection pane="bottomLeft" activeCell="D31" sqref="D31"/>
    </sheetView>
  </sheetViews>
  <sheetFormatPr defaultRowHeight="15" x14ac:dyDescent="0.25"/>
  <cols>
    <col min="1" max="2" width="4.42578125" customWidth="1"/>
    <col min="3" max="3" width="22.140625" customWidth="1"/>
    <col min="5" max="5" width="8.42578125" customWidth="1"/>
    <col min="6" max="6" width="7.85546875" customWidth="1"/>
    <col min="9" max="9" width="10" customWidth="1"/>
    <col min="10" max="10" width="14.140625" customWidth="1"/>
  </cols>
  <sheetData>
    <row r="1" spans="3:6" ht="4.5" customHeight="1" thickBot="1" x14ac:dyDescent="0.3"/>
    <row r="2" spans="3:6" s="16" customFormat="1" ht="10.5" customHeight="1" thickBot="1" x14ac:dyDescent="0.3">
      <c r="C2" s="424" t="s">
        <v>85</v>
      </c>
      <c r="D2" s="425"/>
      <c r="E2" s="20"/>
      <c r="F2" s="20"/>
    </row>
    <row r="3" spans="3:6" s="16" customFormat="1" ht="26.45" customHeight="1" thickBot="1" x14ac:dyDescent="0.3">
      <c r="C3" s="23" t="s">
        <v>2</v>
      </c>
      <c r="D3" s="22" t="s">
        <v>80</v>
      </c>
      <c r="E3" s="19"/>
      <c r="F3" s="19"/>
    </row>
    <row r="4" spans="3:6" s="16" customFormat="1" ht="21" customHeight="1" thickBot="1" x14ac:dyDescent="0.3">
      <c r="C4" s="30" t="s">
        <v>86</v>
      </c>
      <c r="D4" s="24">
        <v>134.38</v>
      </c>
      <c r="E4" s="19"/>
      <c r="F4" s="19"/>
    </row>
    <row r="5" spans="3:6" s="16" customFormat="1" x14ac:dyDescent="0.25">
      <c r="C5" s="21" t="s">
        <v>87</v>
      </c>
      <c r="D5" s="18">
        <v>134.38</v>
      </c>
      <c r="E5" s="19"/>
      <c r="F5" s="19"/>
    </row>
    <row r="6" spans="3:6" s="16" customFormat="1" x14ac:dyDescent="0.25">
      <c r="C6" s="17" t="s">
        <v>88</v>
      </c>
      <c r="D6" s="17">
        <v>23.3</v>
      </c>
      <c r="E6" s="19"/>
      <c r="F6" s="19"/>
    </row>
    <row r="7" spans="3:6" s="16" customFormat="1" x14ac:dyDescent="0.25">
      <c r="C7" s="17" t="s">
        <v>100</v>
      </c>
      <c r="D7" s="17">
        <v>25.18</v>
      </c>
      <c r="E7" s="19"/>
      <c r="F7" s="19"/>
    </row>
    <row r="8" spans="3:6" s="16" customFormat="1" x14ac:dyDescent="0.25">
      <c r="C8" s="17" t="s">
        <v>98</v>
      </c>
      <c r="D8" s="17">
        <v>63.85</v>
      </c>
      <c r="E8" s="19"/>
      <c r="F8" s="19"/>
    </row>
    <row r="9" spans="3:6" s="16" customFormat="1" x14ac:dyDescent="0.25">
      <c r="C9" s="17" t="s">
        <v>99</v>
      </c>
      <c r="D9" s="17">
        <f>80.94/0.2</f>
        <v>404.7</v>
      </c>
    </row>
    <row r="10" spans="3:6" s="16" customFormat="1" x14ac:dyDescent="0.25">
      <c r="C10" s="17" t="s">
        <v>77</v>
      </c>
      <c r="D10" s="17">
        <f>2.5*2.5</f>
        <v>6.25</v>
      </c>
    </row>
    <row r="11" spans="3:6" s="16" customFormat="1" x14ac:dyDescent="0.25"/>
    <row r="12" spans="3:6" s="16" customFormat="1" x14ac:dyDescent="0.25"/>
    <row r="13" spans="3:6" s="16" customFormat="1" x14ac:dyDescent="0.25"/>
    <row r="14" spans="3:6" s="16" customFormat="1" x14ac:dyDescent="0.25"/>
    <row r="15" spans="3:6" s="16" customFormat="1" x14ac:dyDescent="0.25"/>
    <row r="16" spans="3:6" s="16" customFormat="1" x14ac:dyDescent="0.25"/>
    <row r="17" spans="3:4" s="16" customFormat="1" x14ac:dyDescent="0.25"/>
    <row r="18" spans="3:4" s="16" customFormat="1" x14ac:dyDescent="0.25"/>
    <row r="19" spans="3:4" s="16" customFormat="1" x14ac:dyDescent="0.25"/>
    <row r="20" spans="3:4" s="16" customFormat="1" x14ac:dyDescent="0.25"/>
    <row r="21" spans="3:4" s="16" customFormat="1" x14ac:dyDescent="0.25"/>
    <row r="22" spans="3:4" s="16" customFormat="1" x14ac:dyDescent="0.25"/>
    <row r="23" spans="3:4" s="16" customFormat="1" x14ac:dyDescent="0.25"/>
    <row r="24" spans="3:4" x14ac:dyDescent="0.25">
      <c r="C24" s="16"/>
      <c r="D24" s="16"/>
    </row>
    <row r="25" spans="3:4" x14ac:dyDescent="0.25">
      <c r="C25" s="16"/>
      <c r="D25" s="16"/>
    </row>
  </sheetData>
  <mergeCells count="1">
    <mergeCell ref="C2:D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65"/>
  <sheetViews>
    <sheetView tabSelected="1" zoomScaleNormal="100" workbookViewId="0">
      <selection activeCell="M7" sqref="M7"/>
    </sheetView>
  </sheetViews>
  <sheetFormatPr defaultColWidth="9.140625" defaultRowHeight="14.25" x14ac:dyDescent="0.2"/>
  <cols>
    <col min="1" max="1" width="4.85546875" style="43" customWidth="1"/>
    <col min="2" max="2" width="7.7109375" style="99" customWidth="1"/>
    <col min="3" max="3" width="19.28515625" style="44" customWidth="1"/>
    <col min="4" max="4" width="88.85546875" style="45" customWidth="1"/>
    <col min="5" max="5" width="8.28515625" style="44" customWidth="1"/>
    <col min="6" max="6" width="10.85546875" style="44" customWidth="1"/>
    <col min="7" max="7" width="20.140625" style="46" hidden="1" customWidth="1"/>
    <col min="8" max="8" width="19" style="47" customWidth="1"/>
    <col min="9" max="9" width="19.140625" style="47" bestFit="1" customWidth="1"/>
    <col min="10" max="10" width="15.85546875" style="250" bestFit="1" customWidth="1"/>
    <col min="11" max="11" width="19" style="250" customWidth="1"/>
    <col min="12" max="16384" width="9.140625" style="44"/>
  </cols>
  <sheetData>
    <row r="1" spans="1:33" ht="15" thickBot="1" x14ac:dyDescent="0.25"/>
    <row r="2" spans="1:33" ht="14.25" customHeight="1" x14ac:dyDescent="0.2">
      <c r="B2" s="332" t="s">
        <v>221</v>
      </c>
      <c r="C2" s="333"/>
      <c r="D2" s="333"/>
      <c r="E2" s="333"/>
      <c r="F2" s="333"/>
      <c r="G2" s="333"/>
      <c r="H2" s="333"/>
      <c r="I2" s="333"/>
      <c r="J2" s="333"/>
      <c r="K2" s="334"/>
    </row>
    <row r="3" spans="1:33" ht="14.25" customHeight="1" x14ac:dyDescent="0.2">
      <c r="B3" s="335"/>
      <c r="C3" s="336"/>
      <c r="D3" s="336"/>
      <c r="E3" s="336"/>
      <c r="F3" s="336"/>
      <c r="G3" s="336"/>
      <c r="H3" s="336"/>
      <c r="I3" s="336"/>
      <c r="J3" s="336"/>
      <c r="K3" s="337"/>
    </row>
    <row r="4" spans="1:33" ht="14.25" customHeight="1" x14ac:dyDescent="0.2">
      <c r="B4" s="335"/>
      <c r="C4" s="336"/>
      <c r="D4" s="336"/>
      <c r="E4" s="336"/>
      <c r="F4" s="336"/>
      <c r="G4" s="336"/>
      <c r="H4" s="336"/>
      <c r="I4" s="336"/>
      <c r="J4" s="336"/>
      <c r="K4" s="337"/>
    </row>
    <row r="5" spans="1:33" ht="14.25" customHeight="1" x14ac:dyDescent="0.2">
      <c r="B5" s="335"/>
      <c r="C5" s="336"/>
      <c r="D5" s="336"/>
      <c r="E5" s="336"/>
      <c r="F5" s="336"/>
      <c r="G5" s="336"/>
      <c r="H5" s="336"/>
      <c r="I5" s="336"/>
      <c r="J5" s="336"/>
      <c r="K5" s="337"/>
    </row>
    <row r="6" spans="1:33" x14ac:dyDescent="0.2">
      <c r="B6" s="335"/>
      <c r="C6" s="336"/>
      <c r="D6" s="336"/>
      <c r="E6" s="336"/>
      <c r="F6" s="336"/>
      <c r="G6" s="336"/>
      <c r="H6" s="336"/>
      <c r="I6" s="336"/>
      <c r="J6" s="336"/>
      <c r="K6" s="337"/>
    </row>
    <row r="7" spans="1:33" ht="31.5" x14ac:dyDescent="0.2">
      <c r="B7" s="300" t="s">
        <v>2</v>
      </c>
      <c r="C7" s="301" t="s">
        <v>8</v>
      </c>
      <c r="D7" s="302" t="s">
        <v>3</v>
      </c>
      <c r="E7" s="301" t="s">
        <v>4</v>
      </c>
      <c r="F7" s="301" t="s">
        <v>28</v>
      </c>
      <c r="G7" s="303" t="s">
        <v>30</v>
      </c>
      <c r="H7" s="304" t="s">
        <v>89</v>
      </c>
      <c r="I7" s="303" t="s">
        <v>5</v>
      </c>
      <c r="J7" s="198" t="s">
        <v>253</v>
      </c>
      <c r="K7" s="305" t="s">
        <v>254</v>
      </c>
    </row>
    <row r="8" spans="1:33" s="43" customFormat="1" ht="42.75" x14ac:dyDescent="0.2">
      <c r="B8" s="293" t="s">
        <v>197</v>
      </c>
      <c r="C8" s="64" t="str">
        <f>Composições!A49</f>
        <v>Composição 19</v>
      </c>
      <c r="D8" s="86" t="s">
        <v>199</v>
      </c>
      <c r="E8" s="64" t="s">
        <v>21</v>
      </c>
      <c r="F8" s="65">
        <v>25</v>
      </c>
      <c r="G8" s="80">
        <f>Composições!F49</f>
        <v>2267.67</v>
      </c>
      <c r="H8" s="66">
        <f t="shared" ref="H8:H39" si="0">TRUNC(G8*1.2835,2)</f>
        <v>2910.55</v>
      </c>
      <c r="I8" s="80">
        <f t="shared" ref="I8:I39" si="1">TRUNC(H8*F8,2)</f>
        <v>72763.75</v>
      </c>
      <c r="J8" s="306">
        <f>I8/RESUMO!$D$19</f>
        <v>0.45145638989129805</v>
      </c>
      <c r="K8" s="307">
        <f>IFERROR(Tabela1[[#This Row],[PESO (%)]]+J7,Tabela1[[#This Row],[PESO (%)]])</f>
        <v>0.45145638989129805</v>
      </c>
    </row>
    <row r="9" spans="1:33" s="43" customFormat="1" ht="42.75" x14ac:dyDescent="0.2">
      <c r="B9" s="293" t="s">
        <v>189</v>
      </c>
      <c r="C9" s="64">
        <v>89173</v>
      </c>
      <c r="D9" s="86" t="s">
        <v>101</v>
      </c>
      <c r="E9" s="64" t="s">
        <v>0</v>
      </c>
      <c r="F9" s="65">
        <f>((25+24+24)*2.1)*2</f>
        <v>306.60000000000002</v>
      </c>
      <c r="G9" s="80">
        <v>30.14</v>
      </c>
      <c r="H9" s="66">
        <f t="shared" si="0"/>
        <v>38.68</v>
      </c>
      <c r="I9" s="80">
        <f t="shared" si="1"/>
        <v>11859.28</v>
      </c>
      <c r="J9" s="306">
        <f>I9/RESUMO!$D$19</f>
        <v>7.3579876456478316E-2</v>
      </c>
      <c r="K9" s="307">
        <f>IFERROR(Tabela1[[#This Row],[PESO (%)]]+J8,Tabela1[[#This Row],[PESO (%)]])</f>
        <v>0.52503626634777634</v>
      </c>
    </row>
    <row r="10" spans="1:33" s="43" customFormat="1" ht="28.5" x14ac:dyDescent="0.2">
      <c r="B10" s="293" t="s">
        <v>212</v>
      </c>
      <c r="C10" s="64" t="s">
        <v>130</v>
      </c>
      <c r="D10" s="86" t="s">
        <v>127</v>
      </c>
      <c r="E10" s="231" t="str">
        <f>[1]Composição!C189</f>
        <v>M²</v>
      </c>
      <c r="F10" s="204">
        <v>257.39</v>
      </c>
      <c r="G10" s="205">
        <f>Composições!F44</f>
        <v>31.34</v>
      </c>
      <c r="H10" s="66">
        <f t="shared" si="0"/>
        <v>40.22</v>
      </c>
      <c r="I10" s="80">
        <f t="shared" si="1"/>
        <v>10352.219999999999</v>
      </c>
      <c r="J10" s="306">
        <f>I10/RESUMO!$D$19</f>
        <v>6.4229453107632492E-2</v>
      </c>
      <c r="K10" s="308">
        <f>IFERROR(Tabela1[[#This Row],[PESO (%)]]+J9,Tabela1[[#This Row],[PESO (%)]])</f>
        <v>0.13780932956411079</v>
      </c>
    </row>
    <row r="11" spans="1:33" s="43" customFormat="1" ht="28.5" x14ac:dyDescent="0.2">
      <c r="B11" s="293" t="s">
        <v>211</v>
      </c>
      <c r="C11" s="64" t="s">
        <v>122</v>
      </c>
      <c r="D11" s="86" t="s">
        <v>124</v>
      </c>
      <c r="E11" s="231" t="s">
        <v>0</v>
      </c>
      <c r="F11" s="204">
        <v>243.53</v>
      </c>
      <c r="G11" s="205">
        <f>Composições!F39</f>
        <v>24.74</v>
      </c>
      <c r="H11" s="66">
        <f t="shared" si="0"/>
        <v>31.75</v>
      </c>
      <c r="I11" s="80">
        <f t="shared" si="1"/>
        <v>7732.07</v>
      </c>
      <c r="J11" s="306">
        <f>I11/RESUMO!$D$19</f>
        <v>4.7972959180729538E-2</v>
      </c>
      <c r="K11" s="308">
        <f>IFERROR(Tabela1[[#This Row],[PESO (%)]]+J10,Tabela1[[#This Row],[PESO (%)]])</f>
        <v>0.11220241228836203</v>
      </c>
    </row>
    <row r="12" spans="1:33" s="43" customFormat="1" x14ac:dyDescent="0.2">
      <c r="B12" s="293" t="s">
        <v>208</v>
      </c>
      <c r="C12" s="64">
        <v>95305</v>
      </c>
      <c r="D12" s="82" t="s">
        <v>110</v>
      </c>
      <c r="E12" s="231" t="s">
        <v>0</v>
      </c>
      <c r="F12" s="204">
        <v>413.96</v>
      </c>
      <c r="G12" s="206">
        <v>11.4</v>
      </c>
      <c r="H12" s="66">
        <f t="shared" si="0"/>
        <v>14.63</v>
      </c>
      <c r="I12" s="80">
        <f t="shared" si="1"/>
        <v>6056.23</v>
      </c>
      <c r="J12" s="306">
        <f>I12/RESUMO!$D$19</f>
        <v>3.7575354928125283E-2</v>
      </c>
      <c r="K12" s="308">
        <f>IFERROR(Tabela1[[#This Row],[PESO (%)]]+J11,Tabela1[[#This Row],[PESO (%)]])</f>
        <v>8.5548314108854828E-2</v>
      </c>
    </row>
    <row r="13" spans="1:33" s="43" customFormat="1" ht="71.25" x14ac:dyDescent="0.2">
      <c r="B13" s="293" t="s">
        <v>62</v>
      </c>
      <c r="C13" s="64">
        <v>89309</v>
      </c>
      <c r="D13" s="86" t="s">
        <v>252</v>
      </c>
      <c r="E13" s="64" t="s">
        <v>0</v>
      </c>
      <c r="F13" s="65">
        <f>25*2</f>
        <v>50</v>
      </c>
      <c r="G13" s="80">
        <v>90.81</v>
      </c>
      <c r="H13" s="66">
        <f t="shared" si="0"/>
        <v>116.55</v>
      </c>
      <c r="I13" s="80">
        <f t="shared" si="1"/>
        <v>5827.5</v>
      </c>
      <c r="J13" s="306">
        <f>I13/RESUMO!$D$19</f>
        <v>3.6156219437447075E-2</v>
      </c>
      <c r="K13" s="307">
        <f>IFERROR(Tabela1[[#This Row],[PESO (%)]]+J12,Tabela1[[#This Row],[PESO (%)]])</f>
        <v>7.3731574365572358E-2</v>
      </c>
    </row>
    <row r="14" spans="1:33" s="43" customFormat="1" x14ac:dyDescent="0.2">
      <c r="B14" s="293" t="s">
        <v>92</v>
      </c>
      <c r="C14" s="64">
        <v>88496</v>
      </c>
      <c r="D14" s="203" t="s">
        <v>107</v>
      </c>
      <c r="E14" s="231" t="s">
        <v>0</v>
      </c>
      <c r="F14" s="204">
        <v>132.47</v>
      </c>
      <c r="G14" s="205">
        <v>24.32</v>
      </c>
      <c r="H14" s="66">
        <f t="shared" si="0"/>
        <v>31.21</v>
      </c>
      <c r="I14" s="80">
        <f t="shared" si="1"/>
        <v>4134.38</v>
      </c>
      <c r="J14" s="306">
        <f>I14/RESUMO!$D$19</f>
        <v>2.5651402920256101E-2</v>
      </c>
      <c r="K14" s="308">
        <f>IFERROR(Tabela1[[#This Row],[PESO (%)]]+J13,Tabela1[[#This Row],[PESO (%)]])</f>
        <v>6.1807622357703179E-2</v>
      </c>
    </row>
    <row r="15" spans="1:33" s="71" customFormat="1" x14ac:dyDescent="0.2">
      <c r="A15" s="43"/>
      <c r="B15" s="293" t="s">
        <v>210</v>
      </c>
      <c r="C15" s="277">
        <v>88496</v>
      </c>
      <c r="D15" s="278" t="s">
        <v>107</v>
      </c>
      <c r="E15" s="64" t="s">
        <v>0</v>
      </c>
      <c r="F15" s="65">
        <v>132.47</v>
      </c>
      <c r="G15" s="205">
        <v>24.32</v>
      </c>
      <c r="H15" s="66">
        <f t="shared" si="0"/>
        <v>31.21</v>
      </c>
      <c r="I15" s="80">
        <f t="shared" si="1"/>
        <v>4134.38</v>
      </c>
      <c r="J15" s="306">
        <f>I15/RESUMO!$D$19</f>
        <v>2.5651402920256101E-2</v>
      </c>
      <c r="K15" s="308">
        <f>IFERROR(Tabela1[[#This Row],[PESO (%)]]+J14,Tabela1[[#This Row],[PESO (%)]])</f>
        <v>5.1302805840512201E-2</v>
      </c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</row>
    <row r="16" spans="1:33" s="71" customFormat="1" ht="28.5" x14ac:dyDescent="0.2">
      <c r="A16" s="43"/>
      <c r="B16" s="293" t="s">
        <v>226</v>
      </c>
      <c r="C16" s="213">
        <v>102617</v>
      </c>
      <c r="D16" s="203" t="s">
        <v>229</v>
      </c>
      <c r="E16" s="213" t="s">
        <v>12</v>
      </c>
      <c r="F16" s="65">
        <v>1</v>
      </c>
      <c r="G16" s="80">
        <v>2957.99</v>
      </c>
      <c r="H16" s="66">
        <f t="shared" si="0"/>
        <v>3796.58</v>
      </c>
      <c r="I16" s="80">
        <f t="shared" si="1"/>
        <v>3796.58</v>
      </c>
      <c r="J16" s="306">
        <f>I16/RESUMO!$D$19</f>
        <v>2.3555552053508847E-2</v>
      </c>
      <c r="K16" s="307">
        <f>IFERROR(Tabela1[[#This Row],[PESO (%)]]+J15,Tabela1[[#This Row],[PESO (%)]])</f>
        <v>4.9206954973764948E-2</v>
      </c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</row>
    <row r="17" spans="1:33" s="71" customFormat="1" x14ac:dyDescent="0.2">
      <c r="A17" s="43"/>
      <c r="B17" s="293" t="s">
        <v>214</v>
      </c>
      <c r="C17" s="64">
        <v>102491</v>
      </c>
      <c r="D17" s="86" t="s">
        <v>203</v>
      </c>
      <c r="E17" s="231" t="s">
        <v>202</v>
      </c>
      <c r="F17" s="204">
        <v>160.27000000000001</v>
      </c>
      <c r="G17" s="205">
        <v>15.23</v>
      </c>
      <c r="H17" s="66">
        <f t="shared" si="0"/>
        <v>19.54</v>
      </c>
      <c r="I17" s="80">
        <f t="shared" si="1"/>
        <v>3131.67</v>
      </c>
      <c r="J17" s="306">
        <f>I17/RESUMO!$D$19</f>
        <v>1.9430175499900452E-2</v>
      </c>
      <c r="K17" s="308">
        <f>IFERROR(Tabela1[[#This Row],[PESO (%)]]+J16,Tabela1[[#This Row],[PESO (%)]])</f>
        <v>4.2985727553409299E-2</v>
      </c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</row>
    <row r="18" spans="1:33" s="71" customFormat="1" ht="57" x14ac:dyDescent="0.2">
      <c r="A18" s="43"/>
      <c r="B18" s="293" t="s">
        <v>188</v>
      </c>
      <c r="C18" s="64">
        <v>87905</v>
      </c>
      <c r="D18" s="86" t="s">
        <v>196</v>
      </c>
      <c r="E18" s="64" t="s">
        <v>0</v>
      </c>
      <c r="F18" s="65">
        <f>((25+24+24)*2.1)*2</f>
        <v>306.60000000000002</v>
      </c>
      <c r="G18" s="80">
        <v>7.3</v>
      </c>
      <c r="H18" s="66">
        <f t="shared" si="0"/>
        <v>9.36</v>
      </c>
      <c r="I18" s="80">
        <f t="shared" si="1"/>
        <v>2869.77</v>
      </c>
      <c r="J18" s="306">
        <f>I18/RESUMO!$D$19</f>
        <v>1.780523961475804E-2</v>
      </c>
      <c r="K18" s="307">
        <f>IFERROR(Tabela1[[#This Row],[PESO (%)]]+J17,Tabela1[[#This Row],[PESO (%)]])</f>
        <v>3.7235415114658492E-2</v>
      </c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</row>
    <row r="19" spans="1:33" s="71" customFormat="1" ht="42.75" x14ac:dyDescent="0.2">
      <c r="A19" s="43"/>
      <c r="B19" s="293" t="s">
        <v>73</v>
      </c>
      <c r="C19" s="64">
        <v>92419</v>
      </c>
      <c r="D19" s="86" t="s">
        <v>192</v>
      </c>
      <c r="E19" s="64" t="s">
        <v>0</v>
      </c>
      <c r="F19" s="65">
        <f>10*((0.2+0.2+0.2+0.2)*3)</f>
        <v>24.000000000000004</v>
      </c>
      <c r="G19" s="80">
        <v>83.85</v>
      </c>
      <c r="H19" s="66">
        <f t="shared" si="0"/>
        <v>107.62</v>
      </c>
      <c r="I19" s="80">
        <f t="shared" si="1"/>
        <v>2582.88</v>
      </c>
      <c r="J19" s="306">
        <f>I19/RESUMO!$D$19</f>
        <v>1.6025255437253246E-2</v>
      </c>
      <c r="K19" s="307">
        <f>IFERROR(Tabela1[[#This Row],[PESO (%)]]+J18,Tabela1[[#This Row],[PESO (%)]])</f>
        <v>3.3830495052011286E-2</v>
      </c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</row>
    <row r="20" spans="1:33" s="71" customFormat="1" x14ac:dyDescent="0.2">
      <c r="A20" s="43"/>
      <c r="B20" s="293" t="s">
        <v>32</v>
      </c>
      <c r="C20" s="100">
        <v>90776</v>
      </c>
      <c r="D20" s="295" t="s">
        <v>29</v>
      </c>
      <c r="E20" s="64" t="s">
        <v>20</v>
      </c>
      <c r="F20" s="65">
        <v>84</v>
      </c>
      <c r="G20" s="80">
        <v>23.72</v>
      </c>
      <c r="H20" s="66">
        <f t="shared" si="0"/>
        <v>30.44</v>
      </c>
      <c r="I20" s="80">
        <f t="shared" si="1"/>
        <v>2556.96</v>
      </c>
      <c r="J20" s="306">
        <f>I20/RESUMO!$D$19</f>
        <v>1.5864437040373172E-2</v>
      </c>
      <c r="K20" s="307">
        <f>IFERROR(Tabela1[[#This Row],[PESO (%)]]+J19,Tabela1[[#This Row],[PESO (%)]])</f>
        <v>3.1889692477626422E-2</v>
      </c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</row>
    <row r="21" spans="1:33" s="71" customFormat="1" ht="28.5" x14ac:dyDescent="0.2">
      <c r="A21" s="43"/>
      <c r="B21" s="293" t="s">
        <v>207</v>
      </c>
      <c r="C21" s="64">
        <v>88497</v>
      </c>
      <c r="D21" s="203" t="s">
        <v>108</v>
      </c>
      <c r="E21" s="231" t="s">
        <v>0</v>
      </c>
      <c r="F21" s="204">
        <v>118.38</v>
      </c>
      <c r="G21" s="205">
        <v>14.1</v>
      </c>
      <c r="H21" s="66">
        <f t="shared" si="0"/>
        <v>18.09</v>
      </c>
      <c r="I21" s="80">
        <f t="shared" si="1"/>
        <v>2141.4899999999998</v>
      </c>
      <c r="J21" s="306">
        <f>I21/RESUMO!$D$19</f>
        <v>1.3286689380197086E-2</v>
      </c>
      <c r="K21" s="308">
        <f>IFERROR(Tabela1[[#This Row],[PESO (%)]]+J20,Tabela1[[#This Row],[PESO (%)]])</f>
        <v>2.9151126420570259E-2</v>
      </c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</row>
    <row r="22" spans="1:33" s="71" customFormat="1" ht="42.75" x14ac:dyDescent="0.2">
      <c r="A22" s="43"/>
      <c r="B22" s="293" t="s">
        <v>131</v>
      </c>
      <c r="C22" s="273">
        <v>103075</v>
      </c>
      <c r="D22" s="203" t="s">
        <v>231</v>
      </c>
      <c r="E22" s="213" t="s">
        <v>26</v>
      </c>
      <c r="F22" s="65">
        <v>7</v>
      </c>
      <c r="G22" s="205">
        <v>227.93</v>
      </c>
      <c r="H22" s="66">
        <f t="shared" si="0"/>
        <v>292.54000000000002</v>
      </c>
      <c r="I22" s="80">
        <f t="shared" si="1"/>
        <v>2047.78</v>
      </c>
      <c r="J22" s="306">
        <f>I22/RESUMO!$D$19</f>
        <v>1.2705273794871791E-2</v>
      </c>
      <c r="K22" s="307">
        <f>IFERROR(Tabela1[[#This Row],[PESO (%)]]+J21,Tabela1[[#This Row],[PESO (%)]])</f>
        <v>2.5991963175068876E-2</v>
      </c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</row>
    <row r="23" spans="1:33" s="71" customFormat="1" x14ac:dyDescent="0.2">
      <c r="A23" s="43"/>
      <c r="B23" s="293" t="s">
        <v>81</v>
      </c>
      <c r="C23" s="64">
        <v>90777</v>
      </c>
      <c r="D23" s="79" t="s">
        <v>104</v>
      </c>
      <c r="E23" s="64" t="s">
        <v>20</v>
      </c>
      <c r="F23" s="65">
        <f>2*2*4</f>
        <v>16</v>
      </c>
      <c r="G23" s="80">
        <v>93.77</v>
      </c>
      <c r="H23" s="66">
        <f t="shared" si="0"/>
        <v>120.35</v>
      </c>
      <c r="I23" s="80">
        <f t="shared" si="1"/>
        <v>1925.6</v>
      </c>
      <c r="J23" s="306">
        <f>I23/RESUMO!$D$19</f>
        <v>1.194721855834373E-2</v>
      </c>
      <c r="K23" s="307">
        <f>IFERROR(Tabela1[[#This Row],[PESO (%)]]+J22,Tabela1[[#This Row],[PESO (%)]])</f>
        <v>2.4652492353215521E-2</v>
      </c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</row>
    <row r="24" spans="1:33" s="71" customFormat="1" ht="28.5" x14ac:dyDescent="0.2">
      <c r="A24" s="43"/>
      <c r="B24" s="293" t="s">
        <v>209</v>
      </c>
      <c r="C24" s="64" t="s">
        <v>121</v>
      </c>
      <c r="D24" s="86" t="s">
        <v>129</v>
      </c>
      <c r="E24" s="64" t="s">
        <v>0</v>
      </c>
      <c r="F24" s="204">
        <v>118.38</v>
      </c>
      <c r="G24" s="205">
        <f>Composições!F35</f>
        <v>11.48</v>
      </c>
      <c r="H24" s="66">
        <f t="shared" si="0"/>
        <v>14.73</v>
      </c>
      <c r="I24" s="80">
        <f t="shared" si="1"/>
        <v>1743.73</v>
      </c>
      <c r="J24" s="306">
        <f>I24/RESUMO!$D$19</f>
        <v>1.0818821882395467E-2</v>
      </c>
      <c r="K24" s="308">
        <f>IFERROR(Tabela1[[#This Row],[PESO (%)]]+J23,Tabela1[[#This Row],[PESO (%)]])</f>
        <v>2.2766040440739196E-2</v>
      </c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</row>
    <row r="25" spans="1:33" s="71" customFormat="1" ht="57" x14ac:dyDescent="0.2">
      <c r="A25" s="43"/>
      <c r="B25" s="293" t="s">
        <v>213</v>
      </c>
      <c r="C25" s="64">
        <v>100745</v>
      </c>
      <c r="D25" s="86" t="s">
        <v>204</v>
      </c>
      <c r="E25" s="231" t="s">
        <v>202</v>
      </c>
      <c r="F25" s="204">
        <v>66.2</v>
      </c>
      <c r="G25" s="205">
        <v>18.55</v>
      </c>
      <c r="H25" s="66">
        <f t="shared" si="0"/>
        <v>23.8</v>
      </c>
      <c r="I25" s="80">
        <f t="shared" si="1"/>
        <v>1575.56</v>
      </c>
      <c r="J25" s="306">
        <f>I25/RESUMO!$D$19</f>
        <v>9.7754256708475519E-3</v>
      </c>
      <c r="K25" s="308">
        <f>IFERROR(Tabela1[[#This Row],[PESO (%)]]+J24,Tabela1[[#This Row],[PESO (%)]])</f>
        <v>2.0594247553243017E-2</v>
      </c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</row>
    <row r="26" spans="1:33" s="195" customFormat="1" ht="28.5" x14ac:dyDescent="0.25">
      <c r="A26" s="56"/>
      <c r="B26" s="293" t="s">
        <v>94</v>
      </c>
      <c r="C26" s="64">
        <v>103669</v>
      </c>
      <c r="D26" s="86" t="s">
        <v>228</v>
      </c>
      <c r="E26" s="64" t="s">
        <v>186</v>
      </c>
      <c r="F26" s="65">
        <f>10*(0.2*0.2)*3</f>
        <v>1.2000000000000002</v>
      </c>
      <c r="G26" s="80">
        <v>907.07</v>
      </c>
      <c r="H26" s="66">
        <f t="shared" si="0"/>
        <v>1164.22</v>
      </c>
      <c r="I26" s="80">
        <f t="shared" si="1"/>
        <v>1397.06</v>
      </c>
      <c r="J26" s="306">
        <f>I26/RESUMO!$D$19</f>
        <v>8.6679378682590832E-3</v>
      </c>
      <c r="K26" s="307">
        <f>IFERROR(Tabela1[[#This Row],[PESO (%)]]+J25,Tabela1[[#This Row],[PESO (%)]])</f>
        <v>1.8443363539106635E-2</v>
      </c>
    </row>
    <row r="27" spans="1:33" s="195" customFormat="1" x14ac:dyDescent="0.25">
      <c r="A27" s="56"/>
      <c r="B27" s="293" t="s">
        <v>235</v>
      </c>
      <c r="C27" s="64" t="s">
        <v>59</v>
      </c>
      <c r="D27" s="86" t="s">
        <v>64</v>
      </c>
      <c r="E27" s="64" t="s">
        <v>12</v>
      </c>
      <c r="F27" s="65">
        <v>1</v>
      </c>
      <c r="G27" s="205">
        <f>Composições!F24</f>
        <v>854.34</v>
      </c>
      <c r="H27" s="66">
        <f t="shared" si="0"/>
        <v>1096.54</v>
      </c>
      <c r="I27" s="80">
        <f t="shared" si="1"/>
        <v>1096.54</v>
      </c>
      <c r="J27" s="306">
        <f>I27/RESUMO!$D$19</f>
        <v>6.8033875352961322E-3</v>
      </c>
      <c r="K27" s="308">
        <f>IFERROR(Tabela1[[#This Row],[PESO (%)]]+J26,Tabela1[[#This Row],[PESO (%)]])</f>
        <v>1.5471325403555215E-2</v>
      </c>
    </row>
    <row r="28" spans="1:33" s="195" customFormat="1" ht="57" x14ac:dyDescent="0.25">
      <c r="A28" s="56"/>
      <c r="B28" s="293" t="s">
        <v>74</v>
      </c>
      <c r="C28" s="64">
        <v>92777</v>
      </c>
      <c r="D28" s="86" t="s">
        <v>194</v>
      </c>
      <c r="E28" s="64" t="s">
        <v>193</v>
      </c>
      <c r="F28" s="65">
        <f>10*(4*3*0.4)</f>
        <v>48.000000000000007</v>
      </c>
      <c r="G28" s="80">
        <v>16.52</v>
      </c>
      <c r="H28" s="66">
        <f t="shared" si="0"/>
        <v>21.2</v>
      </c>
      <c r="I28" s="80">
        <f t="shared" si="1"/>
        <v>1017.6</v>
      </c>
      <c r="J28" s="306">
        <f>I28/RESUMO!$D$19</f>
        <v>6.3136111367732553E-3</v>
      </c>
      <c r="K28" s="307">
        <f>IFERROR(Tabela1[[#This Row],[PESO (%)]]+J27,Tabela1[[#This Row],[PESO (%)]])</f>
        <v>1.3116998672069387E-2</v>
      </c>
    </row>
    <row r="29" spans="1:33" s="195" customFormat="1" ht="28.5" x14ac:dyDescent="0.25">
      <c r="A29" s="56"/>
      <c r="B29" s="293" t="s">
        <v>242</v>
      </c>
      <c r="C29" s="64">
        <v>102111</v>
      </c>
      <c r="D29" s="86" t="s">
        <v>249</v>
      </c>
      <c r="E29" s="213" t="s">
        <v>12</v>
      </c>
      <c r="F29" s="65">
        <v>1</v>
      </c>
      <c r="G29" s="205">
        <v>789.66</v>
      </c>
      <c r="H29" s="66">
        <f t="shared" si="0"/>
        <v>1013.52</v>
      </c>
      <c r="I29" s="80">
        <f t="shared" si="1"/>
        <v>1013.52</v>
      </c>
      <c r="J29" s="306">
        <f>I29/RESUMO!$D$19</f>
        <v>6.2882971298569464E-3</v>
      </c>
      <c r="K29" s="307">
        <f>IFERROR(Tabela1[[#This Row],[PESO (%)]]+J28,Tabela1[[#This Row],[PESO (%)]])</f>
        <v>1.2601908266630202E-2</v>
      </c>
    </row>
    <row r="30" spans="1:33" s="195" customFormat="1" x14ac:dyDescent="0.25">
      <c r="A30" s="56"/>
      <c r="B30" s="293" t="s">
        <v>90</v>
      </c>
      <c r="C30" s="64" t="s">
        <v>117</v>
      </c>
      <c r="D30" s="203" t="s">
        <v>105</v>
      </c>
      <c r="E30" s="231" t="s">
        <v>0</v>
      </c>
      <c r="F30" s="204">
        <f>(F31+F32+F33)*0.4</f>
        <v>15.600000000000001</v>
      </c>
      <c r="G30" s="205">
        <f>Composições!F32</f>
        <v>5.27</v>
      </c>
      <c r="H30" s="66">
        <f t="shared" si="0"/>
        <v>6.76</v>
      </c>
      <c r="I30" s="80">
        <f t="shared" si="1"/>
        <v>105.45</v>
      </c>
      <c r="J30" s="306">
        <f>I30/RESUMO!$D$19</f>
        <v>6.5425539934428037E-4</v>
      </c>
      <c r="K30" s="308">
        <f>IFERROR(Tabela1[[#This Row],[PESO (%)]]+J29,Tabela1[[#This Row],[PESO (%)]])</f>
        <v>6.9425525292012265E-3</v>
      </c>
    </row>
    <row r="31" spans="1:33" s="195" customFormat="1" x14ac:dyDescent="0.25">
      <c r="A31" s="56"/>
      <c r="B31" s="293" t="s">
        <v>71</v>
      </c>
      <c r="C31" s="64" t="s">
        <v>46</v>
      </c>
      <c r="D31" s="82" t="s">
        <v>47</v>
      </c>
      <c r="E31" s="64" t="s">
        <v>21</v>
      </c>
      <c r="F31" s="84">
        <v>2</v>
      </c>
      <c r="G31" s="80">
        <v>350</v>
      </c>
      <c r="H31" s="66">
        <f t="shared" si="0"/>
        <v>449.22</v>
      </c>
      <c r="I31" s="80">
        <f t="shared" si="1"/>
        <v>898.44</v>
      </c>
      <c r="J31" s="306">
        <f>I31/RESUMO!$D$19</f>
        <v>5.574293228894028E-3</v>
      </c>
      <c r="K31" s="307">
        <f>IFERROR(Tabela1[[#This Row],[PESO (%)]]+J30,Tabela1[[#This Row],[PESO (%)]])</f>
        <v>6.2285486282383081E-3</v>
      </c>
    </row>
    <row r="32" spans="1:33" s="195" customFormat="1" ht="42.75" x14ac:dyDescent="0.25">
      <c r="A32" s="56"/>
      <c r="B32" s="293" t="s">
        <v>93</v>
      </c>
      <c r="C32" s="64">
        <v>92775</v>
      </c>
      <c r="D32" s="86" t="s">
        <v>195</v>
      </c>
      <c r="E32" s="64" t="s">
        <v>193</v>
      </c>
      <c r="F32" s="65">
        <f>10*((3/0.5)*(0.15*4))</f>
        <v>36</v>
      </c>
      <c r="G32" s="80">
        <v>18.46</v>
      </c>
      <c r="H32" s="66">
        <f t="shared" si="0"/>
        <v>23.69</v>
      </c>
      <c r="I32" s="80">
        <f t="shared" si="1"/>
        <v>852.84</v>
      </c>
      <c r="J32" s="306">
        <f>I32/RESUMO!$D$19</f>
        <v>5.2913719751235284E-3</v>
      </c>
      <c r="K32" s="307">
        <f>IFERROR(Tabela1[[#This Row],[PESO (%)]]+J31,Tabela1[[#This Row],[PESO (%)]])</f>
        <v>1.0865665204017556E-2</v>
      </c>
    </row>
    <row r="33" spans="1:11" s="195" customFormat="1" x14ac:dyDescent="0.25">
      <c r="A33" s="56"/>
      <c r="B33" s="293" t="s">
        <v>33</v>
      </c>
      <c r="C33" s="64" t="s">
        <v>10</v>
      </c>
      <c r="D33" s="82" t="s">
        <v>48</v>
      </c>
      <c r="E33" s="83" t="s">
        <v>21</v>
      </c>
      <c r="F33" s="84">
        <v>1</v>
      </c>
      <c r="G33" s="80">
        <f>Composições!F2</f>
        <v>488.28999999999996</v>
      </c>
      <c r="H33" s="66">
        <f t="shared" si="0"/>
        <v>626.72</v>
      </c>
      <c r="I33" s="80">
        <f t="shared" si="1"/>
        <v>626.72</v>
      </c>
      <c r="J33" s="306">
        <f>I33/RESUMO!$D$19</f>
        <v>3.8884300035756038E-3</v>
      </c>
      <c r="K33" s="307">
        <f>IFERROR(Tabela1[[#This Row],[PESO (%)]]+J32,Tabela1[[#This Row],[PESO (%)]])</f>
        <v>9.1798019786991317E-3</v>
      </c>
    </row>
    <row r="34" spans="1:11" s="195" customFormat="1" ht="28.5" x14ac:dyDescent="0.25">
      <c r="A34" s="56"/>
      <c r="B34" s="293" t="s">
        <v>35</v>
      </c>
      <c r="C34" s="64">
        <v>97622</v>
      </c>
      <c r="D34" s="86" t="s">
        <v>187</v>
      </c>
      <c r="E34" s="64" t="s">
        <v>186</v>
      </c>
      <c r="F34" s="65">
        <f>2*5</f>
        <v>10</v>
      </c>
      <c r="G34" s="80">
        <v>43.86</v>
      </c>
      <c r="H34" s="66">
        <f t="shared" si="0"/>
        <v>56.29</v>
      </c>
      <c r="I34" s="80">
        <f t="shared" si="1"/>
        <v>562.9</v>
      </c>
      <c r="J34" s="306">
        <f>I34/RESUMO!$D$19</f>
        <v>3.4924643365661016E-3</v>
      </c>
      <c r="K34" s="307">
        <f>IFERROR(Tabela1[[#This Row],[PESO (%)]]+J33,Tabela1[[#This Row],[PESO (%)]])</f>
        <v>7.3808943401417054E-3</v>
      </c>
    </row>
    <row r="35" spans="1:11" s="195" customFormat="1" x14ac:dyDescent="0.25">
      <c r="A35" s="56"/>
      <c r="B35" s="293" t="s">
        <v>34</v>
      </c>
      <c r="C35" s="64" t="s">
        <v>61</v>
      </c>
      <c r="D35" s="86" t="s">
        <v>41</v>
      </c>
      <c r="E35" s="64" t="s">
        <v>21</v>
      </c>
      <c r="F35" s="65">
        <v>1</v>
      </c>
      <c r="G35" s="80">
        <f>Composições!F13</f>
        <v>428.73</v>
      </c>
      <c r="H35" s="66">
        <f t="shared" si="0"/>
        <v>550.27</v>
      </c>
      <c r="I35" s="80">
        <f t="shared" si="1"/>
        <v>550.27</v>
      </c>
      <c r="J35" s="306">
        <f>I35/RESUMO!$D$19</f>
        <v>3.4141025945678251E-3</v>
      </c>
      <c r="K35" s="307">
        <f>IFERROR(Tabela1[[#This Row],[PESO (%)]]+J34,Tabela1[[#This Row],[PESO (%)]])</f>
        <v>6.9065669311339263E-3</v>
      </c>
    </row>
    <row r="36" spans="1:11" s="195" customFormat="1" x14ac:dyDescent="0.25">
      <c r="A36" s="56"/>
      <c r="B36" s="293" t="s">
        <v>31</v>
      </c>
      <c r="C36" s="64" t="s">
        <v>13</v>
      </c>
      <c r="D36" s="86" t="s">
        <v>44</v>
      </c>
      <c r="E36" s="64" t="s">
        <v>21</v>
      </c>
      <c r="F36" s="65">
        <v>1</v>
      </c>
      <c r="G36" s="80">
        <f>Composições!F17</f>
        <v>428.73</v>
      </c>
      <c r="H36" s="66">
        <f t="shared" si="0"/>
        <v>550.27</v>
      </c>
      <c r="I36" s="80">
        <f t="shared" si="1"/>
        <v>550.27</v>
      </c>
      <c r="J36" s="306">
        <f>I36/RESUMO!$D$19</f>
        <v>3.4141025945678251E-3</v>
      </c>
      <c r="K36" s="307">
        <f>IFERROR(Tabela1[[#This Row],[PESO (%)]]+J35,Tabela1[[#This Row],[PESO (%)]])</f>
        <v>6.8282051891356502E-3</v>
      </c>
    </row>
    <row r="37" spans="1:11" s="194" customFormat="1" ht="28.5" x14ac:dyDescent="0.2">
      <c r="B37" s="293" t="s">
        <v>233</v>
      </c>
      <c r="C37" s="213" t="s">
        <v>201</v>
      </c>
      <c r="D37" s="86" t="s">
        <v>200</v>
      </c>
      <c r="E37" s="64" t="s">
        <v>6</v>
      </c>
      <c r="F37" s="65">
        <f>16.05+6.25+16.05+9.2+1.15+1.45</f>
        <v>50.15</v>
      </c>
      <c r="G37" s="80">
        <v>7.76</v>
      </c>
      <c r="H37" s="66">
        <f t="shared" si="0"/>
        <v>9.9499999999999993</v>
      </c>
      <c r="I37" s="80">
        <f t="shared" si="1"/>
        <v>498.99</v>
      </c>
      <c r="J37" s="306">
        <f>I37/RESUMO!$D$19</f>
        <v>3.0959402723452108E-3</v>
      </c>
      <c r="K37" s="308">
        <f>IFERROR(Tabela1[[#This Row],[PESO (%)]]+J36,Tabela1[[#This Row],[PESO (%)]])</f>
        <v>6.5100428669130359E-3</v>
      </c>
    </row>
    <row r="38" spans="1:11" s="194" customFormat="1" x14ac:dyDescent="0.2">
      <c r="B38" s="293" t="s">
        <v>114</v>
      </c>
      <c r="C38" s="213">
        <v>88264</v>
      </c>
      <c r="D38" s="86" t="s">
        <v>143</v>
      </c>
      <c r="E38" s="213" t="s">
        <v>20</v>
      </c>
      <c r="F38" s="215">
        <f>8*2</f>
        <v>16</v>
      </c>
      <c r="G38" s="205">
        <v>19.53</v>
      </c>
      <c r="H38" s="66">
        <f t="shared" si="0"/>
        <v>25.06</v>
      </c>
      <c r="I38" s="80">
        <f t="shared" si="1"/>
        <v>400.96</v>
      </c>
      <c r="J38" s="306">
        <f>I38/RESUMO!$D$19</f>
        <v>2.4877216208732352E-3</v>
      </c>
      <c r="K38" s="307">
        <f>IFERROR(Tabela1[[#This Row],[PESO (%)]]+J37,Tabela1[[#This Row],[PESO (%)]])</f>
        <v>5.5836618932184456E-3</v>
      </c>
    </row>
    <row r="39" spans="1:11" s="194" customFormat="1" ht="28.5" x14ac:dyDescent="0.2">
      <c r="B39" s="293" t="s">
        <v>45</v>
      </c>
      <c r="C39" s="64" t="s">
        <v>11</v>
      </c>
      <c r="D39" s="82" t="s">
        <v>49</v>
      </c>
      <c r="E39" s="64" t="s">
        <v>0</v>
      </c>
      <c r="F39" s="84">
        <v>1</v>
      </c>
      <c r="G39" s="80">
        <f>Composições!F6</f>
        <v>306.87</v>
      </c>
      <c r="H39" s="66">
        <f t="shared" si="0"/>
        <v>393.86</v>
      </c>
      <c r="I39" s="80">
        <f t="shared" si="1"/>
        <v>393.86</v>
      </c>
      <c r="J39" s="306">
        <f>I39/RESUMO!$D$19</f>
        <v>2.4436702853080916E-3</v>
      </c>
      <c r="K39" s="307">
        <f>IFERROR(Tabela1[[#This Row],[PESO (%)]]+J38,Tabela1[[#This Row],[PESO (%)]])</f>
        <v>4.9313919061813264E-3</v>
      </c>
    </row>
    <row r="40" spans="1:11" s="194" customFormat="1" x14ac:dyDescent="0.2">
      <c r="B40" s="293" t="s">
        <v>113</v>
      </c>
      <c r="C40" s="213">
        <v>88247</v>
      </c>
      <c r="D40" s="86" t="s">
        <v>142</v>
      </c>
      <c r="E40" s="213" t="s">
        <v>20</v>
      </c>
      <c r="F40" s="215">
        <f>8*2</f>
        <v>16</v>
      </c>
      <c r="G40" s="205">
        <v>16.84</v>
      </c>
      <c r="H40" s="66">
        <f t="shared" ref="H40:H60" si="2">TRUNC(G40*1.2835,2)</f>
        <v>21.61</v>
      </c>
      <c r="I40" s="80">
        <f t="shared" ref="I40:I60" si="3">TRUNC(H40*F40,2)</f>
        <v>345.76</v>
      </c>
      <c r="J40" s="306">
        <f>I40/RESUMO!$D$19</f>
        <v>2.1452379978878938E-3</v>
      </c>
      <c r="K40" s="307">
        <f>IFERROR(Tabela1[[#This Row],[PESO (%)]]+J39,Tabela1[[#This Row],[PESO (%)]])</f>
        <v>4.5889082831959849E-3</v>
      </c>
    </row>
    <row r="41" spans="1:11" s="194" customFormat="1" ht="28.5" x14ac:dyDescent="0.2">
      <c r="B41" s="293" t="s">
        <v>234</v>
      </c>
      <c r="C41" s="213" t="s">
        <v>206</v>
      </c>
      <c r="D41" s="86" t="s">
        <v>205</v>
      </c>
      <c r="E41" s="64" t="s">
        <v>6</v>
      </c>
      <c r="F41" s="65">
        <f>(((4.65+2.1)*2)+((1+2.1)*2)+((4.35+1.6)*2)+((2+1.1)*2)+((2+1.1)*2*2)+((1+0.5)*2)+((3.65+1.6)*2)+((1.5+0.5)*2*2))</f>
        <v>71.699999999999989</v>
      </c>
      <c r="G41" s="80">
        <v>3.74</v>
      </c>
      <c r="H41" s="66">
        <f t="shared" si="2"/>
        <v>4.8</v>
      </c>
      <c r="I41" s="80">
        <f t="shared" si="3"/>
        <v>344.16</v>
      </c>
      <c r="J41" s="306">
        <f>I41/RESUMO!$D$19</f>
        <v>2.1353109363520867E-3</v>
      </c>
      <c r="K41" s="308">
        <f>IFERROR(Tabela1[[#This Row],[PESO (%)]]+J40,Tabela1[[#This Row],[PESO (%)]])</f>
        <v>4.2805489342399809E-3</v>
      </c>
    </row>
    <row r="42" spans="1:11" s="194" customFormat="1" ht="28.5" x14ac:dyDescent="0.2">
      <c r="B42" s="293" t="s">
        <v>133</v>
      </c>
      <c r="C42" s="213">
        <v>89356</v>
      </c>
      <c r="D42" s="203" t="s">
        <v>244</v>
      </c>
      <c r="E42" s="213" t="s">
        <v>6</v>
      </c>
      <c r="F42" s="65">
        <v>13.5</v>
      </c>
      <c r="G42" s="205">
        <v>18.66</v>
      </c>
      <c r="H42" s="66">
        <f t="shared" si="2"/>
        <v>23.95</v>
      </c>
      <c r="I42" s="80">
        <f t="shared" si="3"/>
        <v>323.32</v>
      </c>
      <c r="J42" s="306">
        <f>I42/RESUMO!$D$19</f>
        <v>2.0060109598482004E-3</v>
      </c>
      <c r="K42" s="307">
        <f>IFERROR(Tabela1[[#This Row],[PESO (%)]]+J41,Tabela1[[#This Row],[PESO (%)]])</f>
        <v>4.1413218962002875E-3</v>
      </c>
    </row>
    <row r="43" spans="1:11" s="194" customFormat="1" x14ac:dyDescent="0.2">
      <c r="B43" s="293" t="s">
        <v>91</v>
      </c>
      <c r="C43" s="64">
        <v>88485</v>
      </c>
      <c r="D43" s="203" t="s">
        <v>106</v>
      </c>
      <c r="E43" s="231" t="s">
        <v>0</v>
      </c>
      <c r="F43" s="204">
        <v>118.32</v>
      </c>
      <c r="G43" s="205">
        <v>1.8</v>
      </c>
      <c r="H43" s="66">
        <f t="shared" si="2"/>
        <v>2.31</v>
      </c>
      <c r="I43" s="80">
        <f t="shared" si="3"/>
        <v>273.31</v>
      </c>
      <c r="J43" s="306">
        <f>I43/RESUMO!$D$19</f>
        <v>1.6957282427196327E-3</v>
      </c>
      <c r="K43" s="308">
        <f>IFERROR(Tabela1[[#This Row],[PESO (%)]]+J42,Tabela1[[#This Row],[PESO (%)]])</f>
        <v>3.7017392025678331E-3</v>
      </c>
    </row>
    <row r="44" spans="1:11" s="194" customFormat="1" ht="28.5" x14ac:dyDescent="0.2">
      <c r="B44" s="293" t="s">
        <v>36</v>
      </c>
      <c r="C44" s="212">
        <v>91926</v>
      </c>
      <c r="D44" s="86" t="s">
        <v>136</v>
      </c>
      <c r="E44" s="213" t="s">
        <v>6</v>
      </c>
      <c r="F44" s="65">
        <v>50</v>
      </c>
      <c r="G44" s="205">
        <v>4.1100000000000003</v>
      </c>
      <c r="H44" s="66">
        <f t="shared" si="2"/>
        <v>5.27</v>
      </c>
      <c r="I44" s="80">
        <f t="shared" si="3"/>
        <v>263.5</v>
      </c>
      <c r="J44" s="306">
        <f>I44/RESUMO!$D$19</f>
        <v>1.634862946678216E-3</v>
      </c>
      <c r="K44" s="307">
        <f>IFERROR(Tabela1[[#This Row],[PESO (%)]]+J43,Tabela1[[#This Row],[PESO (%)]])</f>
        <v>3.3305911893978489E-3</v>
      </c>
    </row>
    <row r="45" spans="1:11" s="194" customFormat="1" ht="28.5" x14ac:dyDescent="0.2">
      <c r="B45" s="293" t="s">
        <v>38</v>
      </c>
      <c r="C45" s="64">
        <v>38769</v>
      </c>
      <c r="D45" s="86" t="s">
        <v>139</v>
      </c>
      <c r="E45" s="64" t="s">
        <v>12</v>
      </c>
      <c r="F45" s="65">
        <v>2</v>
      </c>
      <c r="G45" s="205">
        <v>98.28</v>
      </c>
      <c r="H45" s="66">
        <f t="shared" si="2"/>
        <v>126.14</v>
      </c>
      <c r="I45" s="80">
        <f t="shared" si="3"/>
        <v>252.28</v>
      </c>
      <c r="J45" s="306">
        <f>I45/RESUMO!$D$19</f>
        <v>1.5652494276583693E-3</v>
      </c>
      <c r="K45" s="307">
        <f>IFERROR(Tabela1[[#This Row],[PESO (%)]]+J44,Tabela1[[#This Row],[PESO (%)]])</f>
        <v>3.2001123743365853E-3</v>
      </c>
    </row>
    <row r="46" spans="1:11" s="194" customFormat="1" ht="28.5" x14ac:dyDescent="0.2">
      <c r="B46" s="293" t="s">
        <v>240</v>
      </c>
      <c r="C46" s="213">
        <v>93141</v>
      </c>
      <c r="D46" s="203" t="s">
        <v>251</v>
      </c>
      <c r="E46" s="213" t="s">
        <v>12</v>
      </c>
      <c r="F46" s="65">
        <v>1</v>
      </c>
      <c r="G46" s="80">
        <v>156.87</v>
      </c>
      <c r="H46" s="66">
        <f t="shared" si="2"/>
        <v>201.34</v>
      </c>
      <c r="I46" s="80">
        <f t="shared" si="3"/>
        <v>201.34</v>
      </c>
      <c r="J46" s="306">
        <f>I46/RESUMO!$D$19</f>
        <v>1.2491966060121139E-3</v>
      </c>
      <c r="K46" s="307">
        <f>IFERROR(Tabela1[[#This Row],[PESO (%)]]+J45,Tabela1[[#This Row],[PESO (%)]])</f>
        <v>2.814446033670483E-3</v>
      </c>
    </row>
    <row r="47" spans="1:11" s="194" customFormat="1" ht="28.5" x14ac:dyDescent="0.2">
      <c r="B47" s="293" t="s">
        <v>239</v>
      </c>
      <c r="C47" s="212">
        <v>91926</v>
      </c>
      <c r="D47" s="86" t="s">
        <v>136</v>
      </c>
      <c r="E47" s="213" t="s">
        <v>6</v>
      </c>
      <c r="F47" s="65">
        <v>25</v>
      </c>
      <c r="G47" s="205">
        <v>4.1100000000000003</v>
      </c>
      <c r="H47" s="66">
        <f t="shared" si="2"/>
        <v>5.27</v>
      </c>
      <c r="I47" s="80">
        <f t="shared" si="3"/>
        <v>131.75</v>
      </c>
      <c r="J47" s="306">
        <f>I47/RESUMO!$D$19</f>
        <v>8.1743147333910801E-4</v>
      </c>
      <c r="K47" s="307">
        <f>IFERROR(Tabela1[[#This Row],[PESO (%)]]+J46,Tabela1[[#This Row],[PESO (%)]])</f>
        <v>2.0666280793512218E-3</v>
      </c>
    </row>
    <row r="48" spans="1:11" s="194" customFormat="1" x14ac:dyDescent="0.2">
      <c r="B48" s="293" t="s">
        <v>109</v>
      </c>
      <c r="C48" s="64">
        <v>39391</v>
      </c>
      <c r="D48" s="86" t="s">
        <v>140</v>
      </c>
      <c r="E48" s="64" t="s">
        <v>12</v>
      </c>
      <c r="F48" s="215">
        <v>2</v>
      </c>
      <c r="G48" s="205">
        <v>43.65</v>
      </c>
      <c r="H48" s="66">
        <f t="shared" si="2"/>
        <v>56.02</v>
      </c>
      <c r="I48" s="80">
        <f t="shared" si="3"/>
        <v>112.04</v>
      </c>
      <c r="J48" s="306">
        <f>I48/RESUMO!$D$19</f>
        <v>6.9514248404488549E-4</v>
      </c>
      <c r="K48" s="307">
        <f>IFERROR(Tabela1[[#This Row],[PESO (%)]]+J47,Tabela1[[#This Row],[PESO (%)]])</f>
        <v>1.5125739573839934E-3</v>
      </c>
    </row>
    <row r="49" spans="1:11" s="194" customFormat="1" ht="57" x14ac:dyDescent="0.2">
      <c r="B49" s="293" t="s">
        <v>134</v>
      </c>
      <c r="C49" s="213">
        <v>94703</v>
      </c>
      <c r="D49" s="203" t="s">
        <v>245</v>
      </c>
      <c r="E49" s="213" t="s">
        <v>12</v>
      </c>
      <c r="F49" s="65">
        <v>3</v>
      </c>
      <c r="G49" s="80">
        <v>19.350000000000001</v>
      </c>
      <c r="H49" s="66">
        <f t="shared" si="2"/>
        <v>24.83</v>
      </c>
      <c r="I49" s="80">
        <f t="shared" si="3"/>
        <v>74.489999999999995</v>
      </c>
      <c r="J49" s="306">
        <f>I49/RESUMO!$D$19</f>
        <v>4.621667586264148E-4</v>
      </c>
      <c r="K49" s="307">
        <f>IFERROR(Tabela1[[#This Row],[PESO (%)]]+J48,Tabela1[[#This Row],[PESO (%)]])</f>
        <v>1.1573092426713002E-3</v>
      </c>
    </row>
    <row r="50" spans="1:11" s="194" customFormat="1" ht="28.5" x14ac:dyDescent="0.2">
      <c r="B50" s="293" t="s">
        <v>227</v>
      </c>
      <c r="C50" s="64">
        <v>94495</v>
      </c>
      <c r="D50" s="86" t="s">
        <v>248</v>
      </c>
      <c r="E50" s="213" t="s">
        <v>12</v>
      </c>
      <c r="F50" s="65">
        <v>1</v>
      </c>
      <c r="G50" s="205">
        <v>48.89</v>
      </c>
      <c r="H50" s="66">
        <f t="shared" si="2"/>
        <v>62.75</v>
      </c>
      <c r="I50" s="80">
        <f t="shared" si="3"/>
        <v>62.75</v>
      </c>
      <c r="J50" s="306">
        <f>I50/RESUMO!$D$19</f>
        <v>3.8932694460743096E-4</v>
      </c>
      <c r="K50" s="307">
        <f>IFERROR(Tabela1[[#This Row],[PESO (%)]]+J49,Tabela1[[#This Row],[PESO (%)]])</f>
        <v>8.5149370323384576E-4</v>
      </c>
    </row>
    <row r="51" spans="1:11" s="194" customFormat="1" x14ac:dyDescent="0.2">
      <c r="B51" s="293" t="s">
        <v>232</v>
      </c>
      <c r="C51" s="64" t="s">
        <v>39</v>
      </c>
      <c r="D51" s="86" t="s">
        <v>82</v>
      </c>
      <c r="E51" s="213" t="s">
        <v>12</v>
      </c>
      <c r="F51" s="65">
        <v>1</v>
      </c>
      <c r="G51" s="205">
        <f>Composições!F21</f>
        <v>38.36</v>
      </c>
      <c r="H51" s="66">
        <f t="shared" si="2"/>
        <v>49.23</v>
      </c>
      <c r="I51" s="80">
        <f t="shared" si="3"/>
        <v>49.23</v>
      </c>
      <c r="J51" s="306">
        <f>I51/RESUMO!$D$19</f>
        <v>3.0544327462986174E-4</v>
      </c>
      <c r="K51" s="307">
        <f>IFERROR(Tabela1[[#This Row],[PESO (%)]]+J50,Tabela1[[#This Row],[PESO (%)]])</f>
        <v>6.9477021923729275E-4</v>
      </c>
    </row>
    <row r="52" spans="1:11" s="194" customFormat="1" ht="28.5" x14ac:dyDescent="0.2">
      <c r="B52" s="293" t="s">
        <v>95</v>
      </c>
      <c r="C52" s="64">
        <v>93358</v>
      </c>
      <c r="D52" s="86" t="s">
        <v>190</v>
      </c>
      <c r="E52" s="64" t="s">
        <v>186</v>
      </c>
      <c r="F52" s="65">
        <f>(25/2.5)*(1.3*0.2*0.2)</f>
        <v>0.52</v>
      </c>
      <c r="G52" s="80">
        <v>66.569999999999993</v>
      </c>
      <c r="H52" s="66">
        <f t="shared" si="2"/>
        <v>85.44</v>
      </c>
      <c r="I52" s="80">
        <f t="shared" si="3"/>
        <v>44.42</v>
      </c>
      <c r="J52" s="306">
        <f>I52/RESUMO!$D$19</f>
        <v>2.7560004588784195E-4</v>
      </c>
      <c r="K52" s="307">
        <f>IFERROR(Tabela1[[#This Row],[PESO (%)]]+J51,Tabela1[[#This Row],[PESO (%)]])</f>
        <v>5.8104332051770369E-4</v>
      </c>
    </row>
    <row r="53" spans="1:11" s="194" customFormat="1" x14ac:dyDescent="0.2">
      <c r="A53" s="194" t="s">
        <v>238</v>
      </c>
      <c r="B53" s="293" t="s">
        <v>111</v>
      </c>
      <c r="C53" s="64">
        <v>39385</v>
      </c>
      <c r="D53" s="86" t="s">
        <v>141</v>
      </c>
      <c r="E53" s="64" t="s">
        <v>12</v>
      </c>
      <c r="F53" s="215">
        <v>2</v>
      </c>
      <c r="G53" s="205">
        <v>17.09</v>
      </c>
      <c r="H53" s="66">
        <f t="shared" si="2"/>
        <v>21.93</v>
      </c>
      <c r="I53" s="80">
        <f t="shared" si="3"/>
        <v>43.86</v>
      </c>
      <c r="J53" s="306">
        <f>I53/RESUMO!$D$19</f>
        <v>2.7212557435030951E-4</v>
      </c>
      <c r="K53" s="307">
        <f>IFERROR(Tabela1[[#This Row],[PESO (%)]]+J52,Tabela1[[#This Row],[PESO (%)]])</f>
        <v>5.4772562023815141E-4</v>
      </c>
    </row>
    <row r="54" spans="1:11" s="194" customFormat="1" ht="28.5" x14ac:dyDescent="0.2">
      <c r="B54" s="293" t="s">
        <v>132</v>
      </c>
      <c r="C54" s="273">
        <v>89489</v>
      </c>
      <c r="D54" s="203" t="s">
        <v>243</v>
      </c>
      <c r="E54" s="213" t="s">
        <v>12</v>
      </c>
      <c r="F54" s="65">
        <v>4</v>
      </c>
      <c r="G54" s="205">
        <v>6.84</v>
      </c>
      <c r="H54" s="66">
        <f t="shared" si="2"/>
        <v>8.77</v>
      </c>
      <c r="I54" s="80">
        <f t="shared" si="3"/>
        <v>35.08</v>
      </c>
      <c r="J54" s="306">
        <f>I54/RESUMO!$D$19</f>
        <v>2.1765082417256855E-4</v>
      </c>
      <c r="K54" s="307">
        <f>IFERROR(Tabela1[[#This Row],[PESO (%)]]+J53,Tabela1[[#This Row],[PESO (%)]])</f>
        <v>4.8977639852287804E-4</v>
      </c>
    </row>
    <row r="55" spans="1:11" s="194" customFormat="1" ht="28.5" x14ac:dyDescent="0.2">
      <c r="B55" s="293" t="s">
        <v>37</v>
      </c>
      <c r="C55" s="212">
        <v>91996</v>
      </c>
      <c r="D55" s="86" t="s">
        <v>137</v>
      </c>
      <c r="E55" s="213" t="s">
        <v>12</v>
      </c>
      <c r="F55" s="65">
        <v>1</v>
      </c>
      <c r="G55" s="205">
        <v>25.13</v>
      </c>
      <c r="H55" s="66">
        <f t="shared" si="2"/>
        <v>32.25</v>
      </c>
      <c r="I55" s="80">
        <f t="shared" si="3"/>
        <v>32.25</v>
      </c>
      <c r="J55" s="306">
        <f>I55/RESUMO!$D$19</f>
        <v>2.0009233408110994E-4</v>
      </c>
      <c r="K55" s="307">
        <f>IFERROR(Tabela1[[#This Row],[PESO (%)]]+J54,Tabela1[[#This Row],[PESO (%)]])</f>
        <v>4.1774315825367849E-4</v>
      </c>
    </row>
    <row r="56" spans="1:11" s="194" customFormat="1" ht="28.5" x14ac:dyDescent="0.2">
      <c r="B56" s="293" t="s">
        <v>75</v>
      </c>
      <c r="C56" s="212">
        <v>92000</v>
      </c>
      <c r="D56" s="86" t="s">
        <v>138</v>
      </c>
      <c r="E56" s="213" t="s">
        <v>12</v>
      </c>
      <c r="F56" s="65">
        <v>1</v>
      </c>
      <c r="G56" s="205">
        <v>22.3</v>
      </c>
      <c r="H56" s="66">
        <f t="shared" si="2"/>
        <v>28.62</v>
      </c>
      <c r="I56" s="80">
        <f t="shared" si="3"/>
        <v>28.62</v>
      </c>
      <c r="J56" s="306">
        <f>I56/RESUMO!$D$19</f>
        <v>1.775703132217478E-4</v>
      </c>
      <c r="K56" s="307">
        <f>IFERROR(Tabela1[[#This Row],[PESO (%)]]+J55,Tabela1[[#This Row],[PESO (%)]])</f>
        <v>3.7766264730285776E-4</v>
      </c>
    </row>
    <row r="57" spans="1:11" s="43" customFormat="1" ht="42.75" x14ac:dyDescent="0.2">
      <c r="B57" s="293" t="s">
        <v>224</v>
      </c>
      <c r="C57" s="213">
        <v>94656</v>
      </c>
      <c r="D57" s="203" t="s">
        <v>246</v>
      </c>
      <c r="E57" s="213" t="s">
        <v>12</v>
      </c>
      <c r="F57" s="65">
        <v>3</v>
      </c>
      <c r="G57" s="80">
        <v>5.89</v>
      </c>
      <c r="H57" s="66">
        <f t="shared" si="2"/>
        <v>7.55</v>
      </c>
      <c r="I57" s="80">
        <f t="shared" si="3"/>
        <v>22.65</v>
      </c>
      <c r="J57" s="306">
        <f>I57/RESUMO!$D$19</f>
        <v>1.4052996486626791E-4</v>
      </c>
      <c r="K57" s="307">
        <f>IFERROR(Tabela1[[#This Row],[PESO (%)]]+J56,Tabela1[[#This Row],[PESO (%)]])</f>
        <v>3.181002780880157E-4</v>
      </c>
    </row>
    <row r="58" spans="1:11" s="217" customFormat="1" ht="42.75" x14ac:dyDescent="0.2">
      <c r="A58" s="194"/>
      <c r="B58" s="293" t="s">
        <v>225</v>
      </c>
      <c r="C58" s="213">
        <v>94657</v>
      </c>
      <c r="D58" s="203" t="s">
        <v>247</v>
      </c>
      <c r="E58" s="213" t="s">
        <v>12</v>
      </c>
      <c r="F58" s="65">
        <v>3</v>
      </c>
      <c r="G58" s="80">
        <v>5.78</v>
      </c>
      <c r="H58" s="66">
        <f t="shared" si="2"/>
        <v>7.41</v>
      </c>
      <c r="I58" s="80">
        <f t="shared" si="3"/>
        <v>22.23</v>
      </c>
      <c r="J58" s="306">
        <f>I58/RESUMO!$D$19</f>
        <v>1.3792411121311856E-4</v>
      </c>
      <c r="K58" s="307">
        <f>IFERROR(Tabela1[[#This Row],[PESO (%)]]+J57,Tabela1[[#This Row],[PESO (%)]])</f>
        <v>2.7845407607938647E-4</v>
      </c>
    </row>
    <row r="59" spans="1:11" ht="28.5" x14ac:dyDescent="0.2">
      <c r="B59" s="293" t="s">
        <v>241</v>
      </c>
      <c r="C59" s="213">
        <v>93655</v>
      </c>
      <c r="D59" s="203" t="s">
        <v>250</v>
      </c>
      <c r="E59" s="213" t="s">
        <v>12</v>
      </c>
      <c r="F59" s="65">
        <v>1</v>
      </c>
      <c r="G59" s="80">
        <v>13.18</v>
      </c>
      <c r="H59" s="66">
        <f t="shared" si="2"/>
        <v>16.91</v>
      </c>
      <c r="I59" s="80">
        <f t="shared" si="3"/>
        <v>16.91</v>
      </c>
      <c r="J59" s="306">
        <f>I59/RESUMO!$D$19</f>
        <v>1.0491663160656028E-4</v>
      </c>
      <c r="K59" s="307">
        <f>IFERROR(Tabela1[[#This Row],[PESO (%)]]+J58,Tabela1[[#This Row],[PESO (%)]])</f>
        <v>2.4284074281967884E-4</v>
      </c>
    </row>
    <row r="60" spans="1:11" x14ac:dyDescent="0.2">
      <c r="B60" s="309" t="s">
        <v>72</v>
      </c>
      <c r="C60" s="296">
        <v>96995</v>
      </c>
      <c r="D60" s="310" t="s">
        <v>191</v>
      </c>
      <c r="E60" s="296" t="s">
        <v>186</v>
      </c>
      <c r="F60" s="297">
        <f>(25/2.5)*(0.5*0.2*0.2)</f>
        <v>0.20000000000000004</v>
      </c>
      <c r="G60" s="298">
        <v>40.36</v>
      </c>
      <c r="H60" s="311">
        <f t="shared" si="2"/>
        <v>51.8</v>
      </c>
      <c r="I60" s="298">
        <f t="shared" si="3"/>
        <v>10.36</v>
      </c>
      <c r="J60" s="312">
        <f>I60/RESUMO!$D$19</f>
        <v>6.4277723444350346E-5</v>
      </c>
      <c r="K60" s="313">
        <f>IFERROR(Tabela1[[#This Row],[PESO (%)]]+J59,Tabela1[[#This Row],[PESO (%)]])</f>
        <v>1.6919435505091061E-4</v>
      </c>
    </row>
    <row r="61" spans="1:11" x14ac:dyDescent="0.2">
      <c r="J61" s="299"/>
    </row>
    <row r="62" spans="1:11" x14ac:dyDescent="0.2">
      <c r="J62" s="246"/>
    </row>
    <row r="63" spans="1:11" x14ac:dyDescent="0.2">
      <c r="I63" s="77"/>
    </row>
    <row r="65" spans="6:6" x14ac:dyDescent="0.2">
      <c r="F65" s="78"/>
    </row>
  </sheetData>
  <mergeCells count="1">
    <mergeCell ref="B2:K6"/>
  </mergeCells>
  <printOptions horizontalCentered="1" verticalCentered="1"/>
  <pageMargins left="0.25" right="0.25" top="0.75" bottom="0.75" header="0.3" footer="0.3"/>
  <pageSetup paperSize="9" scale="73" fitToHeight="0" orientation="landscape" r:id="rId1"/>
  <headerFooter scaleWithDoc="0" alignWithMargins="0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RESUMO</vt:lpstr>
      <vt:lpstr>P. Referência</vt:lpstr>
      <vt:lpstr>Composições</vt:lpstr>
      <vt:lpstr>Cronograma</vt:lpstr>
      <vt:lpstr>BDI</vt:lpstr>
      <vt:lpstr>Quantitativos</vt:lpstr>
      <vt:lpstr>Curva ABC</vt:lpstr>
      <vt:lpstr>BDI!Area_de_impressao</vt:lpstr>
      <vt:lpstr>'Curva ABC'!Area_de_impressao</vt:lpstr>
      <vt:lpstr>'P. Referência'!Area_de_impressao</vt:lpstr>
      <vt:lpstr>RESUMO!Area_de_impressao</vt:lpstr>
      <vt:lpstr>'Curva ABC'!Titulos_de_impressao</vt:lpstr>
      <vt:lpstr>'P. Referência'!Titulos_de_impressao</vt:lpstr>
      <vt:lpstr>RESUMO!Titulos_de_impressao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Adriano de Oliveira</dc:creator>
  <cp:lastModifiedBy>Guilherme de Castro Borges Reis</cp:lastModifiedBy>
  <cp:lastPrinted>2022-02-02T15:39:16Z</cp:lastPrinted>
  <dcterms:created xsi:type="dcterms:W3CDTF">2017-08-18T12:05:16Z</dcterms:created>
  <dcterms:modified xsi:type="dcterms:W3CDTF">2022-03-28T19:03:26Z</dcterms:modified>
</cp:coreProperties>
</file>