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DIAMANTINO\006 - REFORMA\MURO EXETERNO DANIFICADO\"/>
    </mc:Choice>
  </mc:AlternateContent>
  <bookViews>
    <workbookView xWindow="0" yWindow="0" windowWidth="28800" windowHeight="12435" tabRatio="807" activeTab="1"/>
  </bookViews>
  <sheets>
    <sheet name="RESUMO" sheetId="22" r:id="rId1"/>
    <sheet name="P. Referência" sheetId="17" r:id="rId2"/>
    <sheet name="Composições" sheetId="18" r:id="rId3"/>
    <sheet name="Cronograma" sheetId="21" r:id="rId4"/>
    <sheet name="BDI" sheetId="20" r:id="rId5"/>
    <sheet name="Quantitativos" sheetId="19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4">BDI!$A$1:$G$32</definedName>
    <definedName name="_xlnm.Print_Area" localSheetId="1">'P. Referência'!$B$2:$I$70</definedName>
    <definedName name="_xlnm.Print_Area" localSheetId="0">RESUMO!$B$2:$D$18</definedName>
    <definedName name="_xlnm.Print_Titles" localSheetId="1">'P. Referência'!$2:$7</definedName>
    <definedName name="_xlnm.Print_Titles" localSheetId="0">RESUMO!$2:$10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1" l="1"/>
  <c r="I14" i="21"/>
  <c r="I15" i="21"/>
  <c r="I16" i="21"/>
  <c r="I17" i="21"/>
  <c r="I18" i="21"/>
  <c r="I12" i="21"/>
  <c r="B16" i="21" l="1"/>
  <c r="G26" i="20" l="1"/>
  <c r="D12" i="22" l="1"/>
  <c r="D17" i="22"/>
  <c r="D16" i="22"/>
  <c r="D15" i="22"/>
  <c r="D14" i="22"/>
  <c r="D13" i="22"/>
  <c r="D11" i="22"/>
  <c r="D18" i="22" l="1"/>
  <c r="D19" i="21"/>
  <c r="G64" i="17"/>
  <c r="B18" i="21"/>
  <c r="A18" i="21"/>
  <c r="B17" i="21"/>
  <c r="A17" i="21"/>
  <c r="C17" i="21"/>
  <c r="E17" i="21" s="1"/>
  <c r="C16" i="21"/>
  <c r="E16" i="21" s="1"/>
  <c r="A16" i="21"/>
  <c r="C15" i="21"/>
  <c r="E15" i="21" s="1"/>
  <c r="B15" i="21"/>
  <c r="A15" i="21"/>
  <c r="C13" i="21"/>
  <c r="E13" i="21" s="1"/>
  <c r="B13" i="21"/>
  <c r="A13" i="21"/>
  <c r="C12" i="21"/>
  <c r="E12" i="21" s="1"/>
  <c r="B12" i="21"/>
  <c r="A12" i="21"/>
  <c r="H65" i="17"/>
  <c r="I65" i="17" s="1"/>
  <c r="H66" i="17"/>
  <c r="I66" i="17" s="1"/>
  <c r="H54" i="17"/>
  <c r="I54" i="17" s="1"/>
  <c r="H55" i="17"/>
  <c r="I55" i="17"/>
  <c r="H56" i="17"/>
  <c r="I56" i="17" s="1"/>
  <c r="H57" i="17"/>
  <c r="I57" i="17" s="1"/>
  <c r="H58" i="17"/>
  <c r="I58" i="17"/>
  <c r="H59" i="17"/>
  <c r="I59" i="17"/>
  <c r="H60" i="17"/>
  <c r="I60" i="17" s="1"/>
  <c r="H53" i="17"/>
  <c r="I53" i="17" s="1"/>
  <c r="H40" i="17"/>
  <c r="I40" i="17" s="1"/>
  <c r="H41" i="17"/>
  <c r="I41" i="17"/>
  <c r="H42" i="17"/>
  <c r="I42" i="17" s="1"/>
  <c r="H43" i="17"/>
  <c r="I43" i="17" s="1"/>
  <c r="H45" i="17"/>
  <c r="I45" i="17" s="1"/>
  <c r="H48" i="17"/>
  <c r="I48" i="17"/>
  <c r="H49" i="17"/>
  <c r="I49" i="17" s="1"/>
  <c r="H26" i="17"/>
  <c r="I26" i="17"/>
  <c r="H27" i="17"/>
  <c r="I27" i="17"/>
  <c r="H28" i="17"/>
  <c r="I28" i="17"/>
  <c r="H29" i="17"/>
  <c r="I29" i="17"/>
  <c r="H30" i="17"/>
  <c r="I30" i="17"/>
  <c r="H31" i="17"/>
  <c r="I31" i="17"/>
  <c r="H32" i="17"/>
  <c r="I32" i="17"/>
  <c r="H33" i="17"/>
  <c r="I33" i="17"/>
  <c r="H34" i="17"/>
  <c r="I34" i="17"/>
  <c r="H25" i="17"/>
  <c r="I25" i="17" s="1"/>
  <c r="F66" i="17"/>
  <c r="D58" i="18"/>
  <c r="F58" i="18" s="1"/>
  <c r="D59" i="18"/>
  <c r="F59" i="18" s="1"/>
  <c r="F57" i="18"/>
  <c r="F65" i="17"/>
  <c r="F60" i="17"/>
  <c r="F59" i="17"/>
  <c r="F39" i="17"/>
  <c r="D55" i="18"/>
  <c r="F55" i="18" s="1"/>
  <c r="D54" i="18"/>
  <c r="F54" i="18" s="1"/>
  <c r="D53" i="18"/>
  <c r="F53" i="18" s="1"/>
  <c r="D52" i="18"/>
  <c r="F52" i="18" s="1"/>
  <c r="C35" i="17"/>
  <c r="D50" i="18"/>
  <c r="F50" i="18" s="1"/>
  <c r="F34" i="17"/>
  <c r="F56" i="18" l="1"/>
  <c r="F51" i="18"/>
  <c r="F33" i="17"/>
  <c r="F32" i="17"/>
  <c r="F31" i="17"/>
  <c r="F30" i="17"/>
  <c r="F29" i="17"/>
  <c r="F28" i="17"/>
  <c r="F27" i="17"/>
  <c r="F26" i="17"/>
  <c r="F25" i="17"/>
  <c r="F9" i="17"/>
  <c r="F49" i="18" l="1"/>
  <c r="G35" i="17" s="1"/>
  <c r="H35" i="17" s="1"/>
  <c r="I35" i="17" s="1"/>
  <c r="I36" i="17" s="1"/>
  <c r="B14" i="21"/>
  <c r="A14" i="21"/>
  <c r="I8" i="21"/>
  <c r="K22" i="20"/>
  <c r="K21" i="20"/>
  <c r="K20" i="20"/>
  <c r="K19" i="20"/>
  <c r="G18" i="20"/>
  <c r="K17" i="20"/>
  <c r="G16" i="20"/>
  <c r="K15" i="20"/>
  <c r="K14" i="20"/>
  <c r="K13" i="20"/>
  <c r="K12" i="20"/>
  <c r="G11" i="20"/>
  <c r="F8" i="20"/>
  <c r="G6" i="20"/>
  <c r="F6" i="20"/>
  <c r="K18" i="20" l="1"/>
  <c r="K24" i="20" s="1"/>
  <c r="I19" i="21"/>
  <c r="E48" i="18"/>
  <c r="E43" i="18"/>
  <c r="E36" i="18"/>
  <c r="G25" i="20" l="1"/>
  <c r="G8" i="20" s="1"/>
  <c r="D27" i="18"/>
  <c r="F38" i="18"/>
  <c r="F37" i="18"/>
  <c r="F36" i="18"/>
  <c r="E47" i="17"/>
  <c r="F43" i="18"/>
  <c r="F42" i="18"/>
  <c r="F41" i="18"/>
  <c r="F40" i="18"/>
  <c r="F48" i="18"/>
  <c r="F47" i="18"/>
  <c r="F46" i="18"/>
  <c r="F45" i="18"/>
  <c r="F34" i="18"/>
  <c r="F33" i="18"/>
  <c r="I61" i="17" l="1"/>
  <c r="F35" i="18"/>
  <c r="F32" i="18"/>
  <c r="F44" i="18"/>
  <c r="F39" i="18"/>
  <c r="G44" i="17" l="1"/>
  <c r="H44" i="17" s="1"/>
  <c r="I44" i="17" s="1"/>
  <c r="G39" i="17"/>
  <c r="H39" i="17" s="1"/>
  <c r="I39" i="17" s="1"/>
  <c r="G47" i="17"/>
  <c r="H47" i="17" s="1"/>
  <c r="I47" i="17" s="1"/>
  <c r="G46" i="17"/>
  <c r="H46" i="17" s="1"/>
  <c r="I46" i="17" s="1"/>
  <c r="I50" i="17" l="1"/>
  <c r="G17" i="21" s="1"/>
  <c r="J17" i="21" s="1"/>
  <c r="F31" i="18" l="1"/>
  <c r="F30" i="18"/>
  <c r="D9" i="19"/>
  <c r="D10" i="19"/>
  <c r="F29" i="18" l="1"/>
  <c r="G16" i="21" l="1"/>
  <c r="J16" i="21" s="1"/>
  <c r="H10" i="17" l="1"/>
  <c r="I10" i="17" s="1"/>
  <c r="H9" i="17"/>
  <c r="I9" i="17" s="1"/>
  <c r="I11" i="17" l="1"/>
  <c r="G12" i="21" l="1"/>
  <c r="H16" i="17"/>
  <c r="I16" i="17" s="1"/>
  <c r="F23" i="18"/>
  <c r="F22" i="18"/>
  <c r="J12" i="21" l="1"/>
  <c r="F21" i="18"/>
  <c r="H64" i="17" l="1"/>
  <c r="I64" i="17" s="1"/>
  <c r="F20" i="18" l="1"/>
  <c r="F19" i="18"/>
  <c r="F18" i="18"/>
  <c r="F16" i="18"/>
  <c r="F15" i="18"/>
  <c r="F14" i="18"/>
  <c r="F12" i="18"/>
  <c r="F11" i="18"/>
  <c r="F10" i="18"/>
  <c r="F9" i="18"/>
  <c r="F8" i="18"/>
  <c r="F7" i="18"/>
  <c r="F5" i="18"/>
  <c r="F4" i="18"/>
  <c r="F3" i="18"/>
  <c r="F2" i="18" l="1"/>
  <c r="G14" i="17" s="1"/>
  <c r="H14" i="17" s="1"/>
  <c r="I14" i="17" s="1"/>
  <c r="F17" i="18"/>
  <c r="G21" i="17" s="1"/>
  <c r="H21" i="17" s="1"/>
  <c r="I21" i="17" s="1"/>
  <c r="F13" i="18"/>
  <c r="G20" i="17" s="1"/>
  <c r="H20" i="17" s="1"/>
  <c r="I20" i="17" s="1"/>
  <c r="F6" i="18"/>
  <c r="G15" i="17" s="1"/>
  <c r="H15" i="17" s="1"/>
  <c r="I15" i="17" s="1"/>
  <c r="F28" i="18" l="1"/>
  <c r="F27" i="18"/>
  <c r="F26" i="18"/>
  <c r="F25" i="18"/>
  <c r="F24" i="18" l="1"/>
  <c r="G67" i="17" l="1"/>
  <c r="I17" i="17"/>
  <c r="G13" i="21" s="1"/>
  <c r="J13" i="21" s="1"/>
  <c r="H67" i="17" l="1"/>
  <c r="I67" i="17" s="1"/>
  <c r="I68" i="17" s="1"/>
  <c r="I22" i="17"/>
  <c r="C14" i="21" s="1"/>
  <c r="E14" i="21" s="1"/>
  <c r="C18" i="21" l="1"/>
  <c r="G14" i="21"/>
  <c r="G18" i="21" l="1"/>
  <c r="J18" i="21" s="1"/>
  <c r="E18" i="21"/>
  <c r="E19" i="21" s="1"/>
  <c r="I70" i="17"/>
  <c r="J14" i="21"/>
  <c r="G15" i="21" l="1"/>
  <c r="C19" i="21"/>
  <c r="F19" i="21" s="1"/>
  <c r="J15" i="21" l="1"/>
  <c r="J19" i="21" s="1"/>
  <c r="G19" i="21"/>
  <c r="H19" i="21" l="1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2x/semana,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sharedStrings.xml><?xml version="1.0" encoding="utf-8"?>
<sst xmlns="http://schemas.openxmlformats.org/spreadsheetml/2006/main" count="401" uniqueCount="230">
  <si>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</si>
  <si>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</si>
  <si>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</si>
  <si>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</si>
  <si>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</si>
  <si>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</si>
  <si>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</si>
  <si>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</si>
  <si>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</si>
  <si>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</si>
  <si>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</si>
  <si>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</si>
  <si>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</si>
  <si>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</si>
  <si>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Referência SINAPI Desonerada: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</si>
  <si>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</si>
  <si>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</si>
  <si>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</si>
  <si>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</si>
  <si>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</si>
  <si>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</si>
  <si>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</si>
  <si>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>310ML</t>
  </si>
  <si>
    <t>SERVENTE COM ENCARGOS COMPLEMENTARES</t>
  </si>
  <si>
    <t>TELHADISTA COM ENCARGOS COMPLEMENTARES</t>
  </si>
  <si>
    <t>CHI</t>
  </si>
  <si>
    <t>M2</t>
  </si>
  <si>
    <t>ADMINISTRAÇÃO DA OBRA</t>
  </si>
  <si>
    <t>Quant.</t>
  </si>
  <si>
    <t>ENCARREGADO GERAL COM ENCARGOS COMPLEMENTARES</t>
  </si>
  <si>
    <t>Valor Unit.</t>
  </si>
  <si>
    <t>3.2</t>
  </si>
  <si>
    <t>1.2</t>
  </si>
  <si>
    <t>2.1</t>
  </si>
  <si>
    <t>3.1</t>
  </si>
  <si>
    <t>4.1</t>
  </si>
  <si>
    <t>6.1</t>
  </si>
  <si>
    <t>6.2</t>
  </si>
  <si>
    <t>6.4</t>
  </si>
  <si>
    <t>Composição 08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</si>
  <si>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</si>
  <si>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</si>
  <si>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</si>
  <si>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</si>
  <si>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</si>
  <si>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</si>
  <si>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</si>
  <si>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</si>
  <si>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</si>
  <si>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</si>
  <si>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</si>
  <si>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</si>
  <si>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</si>
  <si>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</si>
  <si>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</si>
  <si>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</si>
  <si>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</si>
  <si>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</si>
  <si>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</si>
  <si>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</si>
  <si>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SERVIÇOS PRELIMINARES</t>
  </si>
  <si>
    <t>Composição 03</t>
  </si>
  <si>
    <t>4.2</t>
  </si>
  <si>
    <t>PEDREIRO COM ENCARGOS COMPLEMENTARES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</si>
  <si>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</si>
  <si>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</si>
  <si>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</si>
  <si>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</si>
  <si>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</si>
  <si>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SERVIÇOS COMPLEMENTARES</t>
  </si>
  <si>
    <t>88316</t>
  </si>
  <si>
    <t>2.3</t>
  </si>
  <si>
    <t>4.4</t>
  </si>
  <si>
    <t>4.5</t>
  </si>
  <si>
    <t>4.6</t>
  </si>
  <si>
    <t>6.3</t>
  </si>
  <si>
    <t>TOTAL</t>
  </si>
  <si>
    <t>FORRO</t>
  </si>
  <si>
    <t>Cotação - Tabela 2021 Prefeitura de Cuiabá item 136</t>
  </si>
  <si>
    <t>ART/CREA DE EXECUÇÃO - AREA ATÉ 15.000 R$</t>
  </si>
  <si>
    <t>Área</t>
  </si>
  <si>
    <t>1.1</t>
  </si>
  <si>
    <t>MANUTENÇÃO NO MICTÓRIO DO BANHEIRO MASCULINO</t>
  </si>
  <si>
    <t>AUXILIAR DE ENCANADOR OU BOMBEIRO HIDRÁULICO COM ENCARGOS COMPLEMENTARES</t>
  </si>
  <si>
    <t>ENCANADOR OU BOMBEIRO HIDRÁULICO COM ENCARGOS COMPLEMENTARES</t>
  </si>
  <si>
    <t>REFORMA NAC</t>
  </si>
  <si>
    <t>COBERTURA</t>
  </si>
  <si>
    <t>TELHAS</t>
  </si>
  <si>
    <t>TRAMA</t>
  </si>
  <si>
    <t>Valor Unitário C/ BDI 28,35%</t>
  </si>
  <si>
    <t>5.1</t>
  </si>
  <si>
    <t>5.2</t>
  </si>
  <si>
    <t>5.3</t>
  </si>
  <si>
    <t>4.7</t>
  </si>
  <si>
    <t>4.8</t>
  </si>
  <si>
    <t>4.3</t>
  </si>
  <si>
    <t>SELANTE ELASTICO MONOCOMPONENTE A BASE DE POLIURETANO (PU) PARA JUNTAS DIVERSAS</t>
  </si>
  <si>
    <t>REBITE DE ALUMINIO VAZADO DE REPUXO, 3,2 X 8 MM (1KG = 1025 UNIDADES)</t>
  </si>
  <si>
    <t xml:space="preserve">RUFO </t>
  </si>
  <si>
    <t>PINGADEIRA</t>
  </si>
  <si>
    <t>CALHA</t>
  </si>
  <si>
    <t>SERVIÇO DE EMBOÇO/MASSA ÚNICA, APLICADO MANUALMENTE, TRAÇO 1:2:8, EM BETONEIRA DE 400L, PAREDES INTERNAS, COM EXECUÇÃO DE TALISCAS, EDIFICAÇÃO HABITACIONAL UNIFAMILIAR (CASAS) E EDIFICAÇÃO PÚBLICA PADRÃO.</t>
  </si>
  <si>
    <t>Composição 14</t>
  </si>
  <si>
    <t>REMOÇÃO DE EMBOÇO/MASSA ÚNICA</t>
  </si>
  <si>
    <t xml:space="preserve">ENGENHEIRO CIVIL DE OBRA JUNIOR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</si>
  <si>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11/2021</t>
  </si>
  <si>
    <t>REMOÇÃO DE PINTURA INTERNA E EXTERNA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</si>
  <si>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</si>
  <si>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</si>
  <si>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</si>
  <si>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6.5</t>
  </si>
  <si>
    <t>TEXTURA ACRÍLICA, APLICAÇÃO MANUAL EM PAREDE, UMA DEMÃO. AF_09/2016</t>
  </si>
  <si>
    <t>6.6</t>
  </si>
  <si>
    <t>APLICAÇÃO MANUAL DE TINTA LÁTEX ACRÍLICA, 1° LINHA, ANTIMOFO E LAVAVEL, COM DUAS DEMÃOS NA COR OVELHA.</t>
  </si>
  <si>
    <t>6.7</t>
  </si>
  <si>
    <t>6.8</t>
  </si>
  <si>
    <t>REMOÇÃO DE PINTURA</t>
  </si>
  <si>
    <t>PINTOR COM ENCARGOS COMPLEMENTARES</t>
  </si>
  <si>
    <t>Composição 15</t>
  </si>
  <si>
    <t>Orçamento</t>
  </si>
  <si>
    <t>TINTA ACRILICA PREMIUM,PRIMEIRA LINHA NA COR OVELHA 18L</t>
  </si>
  <si>
    <t>L</t>
  </si>
  <si>
    <t>Composição 16</t>
  </si>
  <si>
    <t>Composição 17</t>
  </si>
  <si>
    <t>PINTURA</t>
  </si>
  <si>
    <t>APLICAÇÃO MANUAL DE PINTURA COM TINTA ACRÍLICA, 1° LINHA, ANTIMOFO EM PAREDES EXTERNAS DE CASAS, NA COR VERDE FOLHA.</t>
  </si>
  <si>
    <t>MASSA PARA TEXTURA RUSTICA DE BASE ACRILICA, COR BRANCA, USO INTERNO E EXTERNO</t>
  </si>
  <si>
    <t>TINTA ACRILICA PREMIUM,PRIMEIRA LINHA NA COR VERDE FOLHA 18L</t>
  </si>
  <si>
    <t>APLICAÇÃO MANUAL DE PINTURA COM TINTA ACRÍLICA, 1° LINHA, ANTIMOFO EM PAREDES EXTERNAS DE CASAS, NA CAIXA DE PANDORA.</t>
  </si>
  <si>
    <t xml:space="preserve">KG    </t>
  </si>
  <si>
    <t>APLICAÇÃO MANUAL DE PINTURA COM TINTA LÁTEX PVA EM TETO, DUAS DEMÃOS. AF_06/2014.</t>
  </si>
  <si>
    <t>APLICAÇÃO MANUAL DE TINTA LÁTEX ACRÍLICA, 1° LINHA, ANTIMOFO E LAVAVEL, COM DUAS DEMÃOS NA COR OVELHA</t>
  </si>
  <si>
    <t>Composição 18</t>
  </si>
  <si>
    <t>7.1</t>
  </si>
  <si>
    <t>7.2</t>
  </si>
  <si>
    <t>7.3</t>
  </si>
  <si>
    <t>7.4</t>
  </si>
  <si>
    <t>INSTALAÇÕES ELÉTRICAS</t>
  </si>
  <si>
    <t>CABO DE COBRE FLEXÍVEL ISOLADO, 2,5 MM², ANTI-CHAMA 450/750 V, PARA CIRCUITOS TERMINAIS - FORNECIMENTO E INSTALAÇÃO. AF_12/2015</t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</si>
  <si>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</si>
  <si>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</si>
  <si>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t xml:space="preserve">LUMINARIA ARANDELA TIPO MEIA-LUA COM VIDRO FOSCO *30 X 15* CM,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</si>
  <si>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</si>
  <si>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</si>
  <si>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DE ELETRICISTA COM ENCARGOS COMPLEMENTARES</t>
  </si>
  <si>
    <t>ELETRICISTA COM ENCARGOS COMPLEMENTARES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</si>
  <si>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</si>
  <si>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</si>
  <si>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</si>
  <si>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</si>
  <si>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</si>
  <si>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</si>
  <si>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</si>
  <si>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</si>
  <si>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</si>
  <si>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</si>
  <si>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</si>
  <si>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</si>
  <si>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</si>
  <si>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</si>
  <si>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</si>
  <si>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</si>
  <si>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</si>
  <si>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</si>
  <si>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</si>
  <si>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</si>
  <si>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3.0</t>
  </si>
  <si>
    <t>TRIBUTOS</t>
  </si>
  <si>
    <t>**ISS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</si>
  <si>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</si>
  <si>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</si>
  <si>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</si>
  <si>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</si>
  <si>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</si>
  <si>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</si>
  <si>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</si>
  <si>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</si>
  <si>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</si>
  <si>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</si>
  <si>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</si>
  <si>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ETAPA</t>
  </si>
  <si>
    <t>VL. TOTAL</t>
  </si>
  <si>
    <t>%</t>
  </si>
  <si>
    <t>30 DIAS</t>
  </si>
  <si>
    <t>VALOR TOTAL</t>
  </si>
  <si>
    <t>REF.:</t>
  </si>
  <si>
    <t>REPARO E ADEQUAÇÃO DE MURO EXTERNO</t>
  </si>
  <si>
    <t>M³</t>
  </si>
  <si>
    <t>DEMOLIÇÃO DE ALVENARIA DE BLOCO FURADO, DE FORMA MANUAL, SEM REAPROVEI TAMENTO. AF_12/2017</t>
  </si>
  <si>
    <t>4.9</t>
  </si>
  <si>
    <t>4.10</t>
  </si>
  <si>
    <t>ALVENARIA DE VEDAÇÃO DE BLOCOS VAZADOS DE CONCRETO DE 14X19X39CM (ESPESSURA 14CM) DE PAREDES COM ÁREA LÍQUIDA MAIOR OU IGUAL A 6M² SEM VÃOS E ARGAMASSA DE ASSENTAMENTO COM PREPARO EM BETONEIRA. AF_06/2014</t>
  </si>
  <si>
    <t>ESCAVAÇÃO MANUAL DE VALA COM PROFUNDIDADE MENOR OU IGUAL A 1,30
02/2021</t>
  </si>
  <si>
    <t>REATERRO MANUAL APILOADO COM SOQUETE. AF_10/2017</t>
  </si>
  <si>
    <t>MONTAGEM E DESMONTAGEM DE FÔRMA DE PILARES RETANGULARES E ESTRUTURAS, PÉ-DIREITO SIMPLES, EM CHAPA DE MADEIRA COMPENSADA RESINADA, 4 UTILIZAÇÕES. AF_09/2020</t>
  </si>
  <si>
    <t>Kg</t>
  </si>
  <si>
    <t>ARMAÇÃO DE PILAR OU VIGA DE UMA ESTRUTURA CONVENCIONAL DE CONCRETO ARMADO EM UMA EDIFICAÇÃO TÉRREA OU SOBRADO UTILIZANDO AÇO CA-50 DE 8,0 M
M - MONTAGEM. AF_12/2015</t>
  </si>
  <si>
    <t>ARMAÇÃO DE PILAR OU VIGA DE UMA ESTRUTURA CONVENCIONAL DE CONCRETO ARMADO EM UMA EDIFICAÇÃO TÉRREA OU SOBRADO UTILIZANDO AÇO CA-60 DE 5,0 MM - MONTAGEM. AF_12/2015</t>
  </si>
  <si>
    <t>CONCRETAGEM DE PILARES, FCK = 25 MPA, COM USO DE BALDES EM EDIFICAÇÃO
COM SEÇÃO MÉDIA DE PILARES MENOR OU IGUAL A 0,25 M² - LANÇAMENTO, ADE
NSAMENTO E ACABAMENTO. AF_12/2015</t>
  </si>
  <si>
    <t>CHAPISCO APLICADO EM ALVENARIA (COM PRESENÇA DE VÃOS) E ESTRUTURAS DE CONCRETO DE FACHADA, COM COLHER DE PEDREIRO. ARGAMASSA TRAÇO 1:3 COM
PREPARO EM BETONEIRA 400L. AF_06/2014</t>
  </si>
  <si>
    <t>4.11</t>
  </si>
  <si>
    <t>Composição 19</t>
  </si>
  <si>
    <t>CONCRETAGEM DE PILARES, FCK = 25 MPA, COM USO DE BALDES EM EDIFICAÇÃO COM SEÇÃO MÉDIA DE PILARES MENOR OU IGUAL A 0,25 M² - LANÇAMENTO, ADENSAMENTO E ACABAMENTO. AF_12/2015</t>
  </si>
  <si>
    <t>CONTRAFORTE DE 2,00x1,00m, EXECUTADOS EM BLOCO VAZADOS DE CONCRETO DE 9X19X39CM, INCLUSO PILARETE (15X15CM), BASE EM BALTRAME, COM ACABAMENTO (CHAPISCO E EMBOÇO)</t>
  </si>
  <si>
    <t>REAPLICAÇÃO DE SELANTE ELASTICO NO ENCONTRO DA CALHA COM A ALVENARIA</t>
  </si>
  <si>
    <t>Composição 20</t>
  </si>
  <si>
    <t>m2</t>
  </si>
  <si>
    <t>PINTURA ACRILICA EM PISO CIMENTADO DUAS DEMAOS</t>
  </si>
  <si>
    <t>PINTURA COM TINTA ALQUÍDICA DE ACABAMENTO (ESMALTE SINTÉTICO BRILHANTE) PULVERIZADA SOBRE SUPERFÍCIES METÁLICAS (EXCETO PERFIL) EXECUTADO EM
OBRA (POR DEMÃO). AF_01/2020_P</t>
  </si>
  <si>
    <t>APLICAÇÃO DE IMPERMEABILIZANTE INCOLOR, BASE DE SILICONE NO ACABAMENTO DAS JANELAS E PORTAS DE VIDROS EXTERNAS</t>
  </si>
  <si>
    <t>Composição 21</t>
  </si>
  <si>
    <t>5.4</t>
  </si>
  <si>
    <t>5.5</t>
  </si>
  <si>
    <t>5.6</t>
  </si>
  <si>
    <t>5.7</t>
  </si>
  <si>
    <t>5.8</t>
  </si>
  <si>
    <t>5.9</t>
  </si>
  <si>
    <t>5.10</t>
  </si>
  <si>
    <t>5.11</t>
  </si>
  <si>
    <t>Rua Almirante Batista das Neves, n°419, bairro Centro, Diamantino-MT</t>
  </si>
  <si>
    <t>DIAMANTINO - MT</t>
  </si>
  <si>
    <t>VALO TOTAL</t>
  </si>
  <si>
    <t>RESUMO</t>
  </si>
  <si>
    <t>NUCLE AVANÇADO DE CAPACITAÇÃO DIAMANTINO</t>
  </si>
  <si>
    <t>Núcleo Avançado de Capacitação - DIAMANTINO</t>
  </si>
  <si>
    <t>Planilha de Referência Orçamentária
Núcleo Avançado de Capacitação - DIAMANTINO</t>
  </si>
  <si>
    <t>CRONOGRAMA FÍSICO FINANCEIRO - DIAMANTINO</t>
  </si>
  <si>
    <t>Reparos de Engenharia</t>
  </si>
  <si>
    <t>60 DIAS</t>
  </si>
  <si>
    <t>SINAP-MT  DES. NOV/2021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</si>
</sst>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[$-416]mmmm\-yy;@"/>
    <numFmt numFmtId="168" formatCode="_-&quot;R$&quot;* #,##0.00_-;\-&quot;R$&quot;* #,##0.00_-;_-&quot;R$&quot;* &quot;-&quot;??_-;_-@_-"/>
    <numFmt numFmtId="169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Calibri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00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4" fontId="7" fillId="0" borderId="1" xfId="13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44" fontId="4" fillId="0" borderId="1" xfId="4" applyFont="1" applyBorder="1"/>
    <xf numFmtId="44" fontId="7" fillId="2" borderId="1" xfId="4" applyFont="1" applyFill="1" applyBorder="1" applyAlignment="1">
      <alignment horizontal="center" vertical="center"/>
    </xf>
    <xf numFmtId="44" fontId="7" fillId="0" borderId="1" xfId="13" applyFont="1" applyBorder="1" applyAlignment="1">
      <alignment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9" fontId="15" fillId="2" borderId="8" xfId="0" applyNumberFormat="1" applyFont="1" applyFill="1" applyBorder="1" applyAlignment="1"/>
    <xf numFmtId="0" fontId="15" fillId="2" borderId="8" xfId="0" applyFont="1" applyFill="1" applyBorder="1" applyAlignment="1"/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164" fontId="16" fillId="2" borderId="20" xfId="0" applyNumberFormat="1" applyFont="1" applyFill="1" applyBorder="1" applyAlignment="1">
      <alignment horizontal="center" vertical="center"/>
    </xf>
    <xf numFmtId="164" fontId="16" fillId="2" borderId="20" xfId="0" applyNumberFormat="1" applyFont="1" applyFill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/>
    <xf numFmtId="164" fontId="17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/>
    <xf numFmtId="164" fontId="17" fillId="3" borderId="4" xfId="0" applyNumberFormat="1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vertical="center"/>
    </xf>
    <xf numFmtId="0" fontId="15" fillId="3" borderId="0" xfId="0" applyFont="1" applyFill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4" applyFont="1" applyFill="1" applyBorder="1" applyAlignment="1">
      <alignment horizontal="center" vertical="center"/>
    </xf>
    <xf numFmtId="165" fontId="15" fillId="0" borderId="0" xfId="0" applyNumberFormat="1" applyFont="1"/>
    <xf numFmtId="4" fontId="15" fillId="0" borderId="0" xfId="0" applyNumberFormat="1" applyFont="1"/>
    <xf numFmtId="0" fontId="18" fillId="2" borderId="1" xfId="0" applyFont="1" applyFill="1" applyBorder="1"/>
    <xf numFmtId="44" fontId="18" fillId="2" borderId="1" xfId="4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2" fontId="18" fillId="3" borderId="3" xfId="0" applyNumberFormat="1" applyFont="1" applyFill="1" applyBorder="1" applyAlignment="1">
      <alignment horizontal="center" vertical="center"/>
    </xf>
    <xf numFmtId="44" fontId="18" fillId="3" borderId="3" xfId="4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left" wrapText="1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horizontal="center" vertical="center"/>
    </xf>
    <xf numFmtId="164" fontId="18" fillId="3" borderId="2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4" fillId="2" borderId="0" xfId="0" applyFont="1" applyFill="1"/>
    <xf numFmtId="0" fontId="21" fillId="2" borderId="0" xfId="0" applyFont="1" applyFill="1"/>
    <xf numFmtId="0" fontId="21" fillId="0" borderId="0" xfId="0" applyFont="1"/>
    <xf numFmtId="0" fontId="14" fillId="0" borderId="0" xfId="0" applyFont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4" fontId="5" fillId="6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6" borderId="1" xfId="4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44" fontId="13" fillId="6" borderId="1" xfId="4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4" fontId="13" fillId="6" borderId="1" xfId="13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2" fillId="0" borderId="0" xfId="0" applyFont="1"/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44" fontId="12" fillId="6" borderId="1" xfId="4" applyFont="1" applyFill="1" applyBorder="1" applyAlignment="1">
      <alignment horizontal="center" vertical="center"/>
    </xf>
    <xf numFmtId="44" fontId="20" fillId="6" borderId="1" xfId="4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0" xfId="21"/>
    <xf numFmtId="0" fontId="23" fillId="0" borderId="18" xfId="21" applyFont="1" applyBorder="1" applyAlignment="1"/>
    <xf numFmtId="10" fontId="24" fillId="0" borderId="8" xfId="21" applyNumberFormat="1" applyFont="1" applyFill="1" applyBorder="1" applyAlignment="1">
      <alignment vertical="center"/>
    </xf>
    <xf numFmtId="0" fontId="24" fillId="0" borderId="8" xfId="21" applyNumberFormat="1" applyFont="1" applyFill="1" applyBorder="1" applyAlignment="1">
      <alignment vertical="center"/>
    </xf>
    <xf numFmtId="167" fontId="23" fillId="0" borderId="18" xfId="21" applyNumberFormat="1" applyFont="1" applyBorder="1" applyAlignment="1"/>
    <xf numFmtId="0" fontId="17" fillId="0" borderId="26" xfId="21" applyFont="1" applyBorder="1" applyAlignment="1">
      <alignment horizontal="center" vertical="center"/>
    </xf>
    <xf numFmtId="0" fontId="17" fillId="0" borderId="29" xfId="21" applyFont="1" applyBorder="1" applyAlignment="1">
      <alignment horizontal="center" wrapText="1"/>
    </xf>
    <xf numFmtId="0" fontId="24" fillId="7" borderId="24" xfId="21" applyFont="1" applyFill="1" applyBorder="1" applyAlignment="1">
      <alignment horizontal="center"/>
    </xf>
    <xf numFmtId="4" fontId="24" fillId="7" borderId="30" xfId="21" applyNumberFormat="1" applyFont="1" applyFill="1" applyBorder="1" applyAlignment="1">
      <alignment horizontal="center"/>
    </xf>
    <xf numFmtId="0" fontId="17" fillId="0" borderId="0" xfId="21" applyFont="1" applyFill="1" applyBorder="1" applyAlignment="1">
      <alignment horizontal="center" vertical="center"/>
    </xf>
    <xf numFmtId="0" fontId="2" fillId="0" borderId="31" xfId="21" applyFont="1" applyBorder="1" applyAlignment="1">
      <alignment horizontal="center"/>
    </xf>
    <xf numFmtId="2" fontId="2" fillId="0" borderId="35" xfId="22" applyNumberFormat="1" applyFont="1" applyBorder="1" applyAlignment="1">
      <alignment horizontal="center"/>
    </xf>
    <xf numFmtId="2" fontId="25" fillId="0" borderId="20" xfId="20" applyNumberFormat="1" applyFont="1" applyBorder="1" applyAlignment="1">
      <alignment horizontal="center" vertical="center"/>
    </xf>
    <xf numFmtId="2" fontId="26" fillId="0" borderId="36" xfId="20" applyNumberFormat="1" applyFont="1" applyBorder="1" applyAlignment="1">
      <alignment horizontal="center" vertical="center"/>
    </xf>
    <xf numFmtId="0" fontId="2" fillId="0" borderId="37" xfId="21" applyFont="1" applyBorder="1" applyAlignment="1">
      <alignment horizontal="center"/>
    </xf>
    <xf numFmtId="2" fontId="2" fillId="0" borderId="38" xfId="22" applyNumberFormat="1" applyFont="1" applyBorder="1" applyAlignment="1">
      <alignment horizontal="center"/>
    </xf>
    <xf numFmtId="0" fontId="2" fillId="0" borderId="39" xfId="21" applyFont="1" applyBorder="1" applyAlignment="1">
      <alignment horizontal="center"/>
    </xf>
    <xf numFmtId="2" fontId="2" fillId="0" borderId="43" xfId="22" applyNumberFormat="1" applyFont="1" applyBorder="1" applyAlignment="1">
      <alignment horizontal="center"/>
    </xf>
    <xf numFmtId="2" fontId="25" fillId="0" borderId="20" xfId="21" applyNumberFormat="1" applyFont="1" applyBorder="1" applyAlignment="1">
      <alignment horizontal="center"/>
    </xf>
    <xf numFmtId="0" fontId="26" fillId="0" borderId="36" xfId="21" applyFont="1" applyBorder="1" applyAlignment="1">
      <alignment horizontal="center"/>
    </xf>
    <xf numFmtId="0" fontId="2" fillId="0" borderId="44" xfId="21" applyFont="1" applyBorder="1" applyAlignment="1">
      <alignment horizontal="center"/>
    </xf>
    <xf numFmtId="4" fontId="2" fillId="0" borderId="45" xfId="21" applyNumberFormat="1" applyFont="1" applyBorder="1" applyAlignment="1">
      <alignment horizontal="center"/>
    </xf>
    <xf numFmtId="0" fontId="25" fillId="0" borderId="0" xfId="21" applyFont="1" applyFill="1" applyBorder="1" applyAlignment="1">
      <alignment vertical="center"/>
    </xf>
    <xf numFmtId="0" fontId="24" fillId="0" borderId="31" xfId="21" applyFont="1" applyBorder="1" applyAlignment="1">
      <alignment horizontal="center"/>
    </xf>
    <xf numFmtId="4" fontId="2" fillId="2" borderId="35" xfId="21" applyNumberFormat="1" applyFont="1" applyFill="1" applyBorder="1" applyAlignment="1">
      <alignment horizontal="center"/>
    </xf>
    <xf numFmtId="0" fontId="24" fillId="0" borderId="37" xfId="21" applyFont="1" applyBorder="1" applyAlignment="1">
      <alignment horizontal="center"/>
    </xf>
    <xf numFmtId="4" fontId="2" fillId="0" borderId="38" xfId="21" applyNumberFormat="1" applyFont="1" applyBorder="1" applyAlignment="1">
      <alignment horizontal="center"/>
    </xf>
    <xf numFmtId="0" fontId="24" fillId="0" borderId="39" xfId="21" applyFont="1" applyBorder="1" applyAlignment="1">
      <alignment horizontal="center"/>
    </xf>
    <xf numFmtId="4" fontId="2" fillId="0" borderId="43" xfId="21" applyNumberFormat="1" applyFont="1" applyBorder="1" applyAlignment="1">
      <alignment horizontal="center"/>
    </xf>
    <xf numFmtId="0" fontId="2" fillId="0" borderId="0" xfId="21" applyFill="1" applyBorder="1"/>
    <xf numFmtId="2" fontId="27" fillId="0" borderId="0" xfId="21" applyNumberFormat="1" applyFont="1"/>
    <xf numFmtId="2" fontId="29" fillId="7" borderId="18" xfId="21" applyNumberFormat="1" applyFont="1" applyFill="1" applyBorder="1" applyAlignment="1">
      <alignment horizontal="center" vertical="center"/>
    </xf>
    <xf numFmtId="166" fontId="16" fillId="0" borderId="18" xfId="23" applyFont="1" applyBorder="1" applyAlignment="1">
      <alignment vertical="center"/>
    </xf>
    <xf numFmtId="10" fontId="25" fillId="0" borderId="0" xfId="22" applyNumberFormat="1" applyFont="1" applyFill="1" applyBorder="1" applyAlignment="1">
      <alignment vertical="center"/>
    </xf>
    <xf numFmtId="0" fontId="2" fillId="0" borderId="0" xfId="21" applyFont="1"/>
    <xf numFmtId="0" fontId="31" fillId="0" borderId="0" xfId="21" applyFont="1"/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8" fontId="34" fillId="0" borderId="1" xfId="0" applyNumberFormat="1" applyFont="1" applyBorder="1" applyAlignment="1">
      <alignment horizontal="right" vertical="center"/>
    </xf>
    <xf numFmtId="0" fontId="34" fillId="0" borderId="37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44" fontId="18" fillId="2" borderId="4" xfId="4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8" fillId="2" borderId="0" xfId="0" applyFont="1" applyFill="1"/>
    <xf numFmtId="0" fontId="15" fillId="0" borderId="0" xfId="0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/>
    <xf numFmtId="0" fontId="18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center" vertical="center"/>
    </xf>
    <xf numFmtId="164" fontId="18" fillId="2" borderId="11" xfId="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164" fontId="18" fillId="2" borderId="1" xfId="4" applyNumberFormat="1" applyFont="1" applyFill="1" applyBorder="1" applyAlignment="1">
      <alignment horizontal="center" vertical="center"/>
    </xf>
    <xf numFmtId="44" fontId="18" fillId="2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164" fontId="18" fillId="2" borderId="5" xfId="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164" fontId="17" fillId="3" borderId="2" xfId="0" applyNumberFormat="1" applyFont="1" applyFill="1" applyBorder="1" applyAlignment="1">
      <alignment vertical="center"/>
    </xf>
    <xf numFmtId="0" fontId="18" fillId="2" borderId="1" xfId="27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4" fontId="18" fillId="2" borderId="1" xfId="26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/>
    </xf>
    <xf numFmtId="0" fontId="18" fillId="0" borderId="0" xfId="0" applyFont="1"/>
    <xf numFmtId="0" fontId="17" fillId="3" borderId="13" xfId="0" applyFont="1" applyFill="1" applyBorder="1" applyAlignment="1">
      <alignment horizontal="center" vertical="center"/>
    </xf>
    <xf numFmtId="0" fontId="17" fillId="3" borderId="12" xfId="0" applyFont="1" applyFill="1" applyBorder="1" applyAlignment="1"/>
    <xf numFmtId="0" fontId="17" fillId="3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wrapText="1"/>
    </xf>
    <xf numFmtId="164" fontId="18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right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 vertical="center"/>
    </xf>
    <xf numFmtId="44" fontId="18" fillId="0" borderId="3" xfId="4" applyFont="1" applyFill="1" applyBorder="1" applyAlignment="1">
      <alignment horizontal="center" vertical="center"/>
    </xf>
    <xf numFmtId="44" fontId="18" fillId="2" borderId="3" xfId="4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vertical="center"/>
    </xf>
    <xf numFmtId="164" fontId="17" fillId="2" borderId="14" xfId="0" applyNumberFormat="1" applyFont="1" applyFill="1" applyBorder="1" applyAlignment="1">
      <alignment vertical="center"/>
    </xf>
    <xf numFmtId="164" fontId="18" fillId="3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0" fontId="4" fillId="2" borderId="0" xfId="0" applyFont="1" applyFill="1"/>
    <xf numFmtId="0" fontId="4" fillId="0" borderId="0" xfId="0" applyFont="1"/>
    <xf numFmtId="0" fontId="18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/>
    <xf numFmtId="0" fontId="16" fillId="4" borderId="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9" fontId="15" fillId="2" borderId="0" xfId="0" applyNumberFormat="1" applyFont="1" applyFill="1" applyBorder="1" applyAlignment="1"/>
    <xf numFmtId="0" fontId="38" fillId="2" borderId="50" xfId="0" applyFont="1" applyFill="1" applyBorder="1" applyAlignment="1">
      <alignment vertical="center" wrapText="1"/>
    </xf>
    <xf numFmtId="0" fontId="38" fillId="2" borderId="49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38" fillId="2" borderId="51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49" fontId="17" fillId="0" borderId="53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vertical="center"/>
    </xf>
    <xf numFmtId="0" fontId="18" fillId="2" borderId="8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164" fontId="18" fillId="2" borderId="16" xfId="0" applyNumberFormat="1" applyFont="1" applyFill="1" applyBorder="1" applyAlignment="1">
      <alignment horizontal="right" vertical="center"/>
    </xf>
    <xf numFmtId="0" fontId="16" fillId="4" borderId="37" xfId="0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164" fontId="17" fillId="0" borderId="38" xfId="0" applyNumberFormat="1" applyFont="1" applyFill="1" applyBorder="1" applyAlignment="1"/>
    <xf numFmtId="164" fontId="39" fillId="4" borderId="48" xfId="0" applyNumberFormat="1" applyFont="1" applyFill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15" fillId="2" borderId="0" xfId="0" applyFont="1" applyFill="1" applyBorder="1" applyAlignment="1">
      <alignment horizontal="center" wrapText="1"/>
    </xf>
    <xf numFmtId="0" fontId="39" fillId="4" borderId="55" xfId="0" applyFont="1" applyFill="1" applyBorder="1" applyAlignment="1">
      <alignment horizontal="right" vertical="center"/>
    </xf>
    <xf numFmtId="0" fontId="39" fillId="4" borderId="42" xfId="0" applyFont="1" applyFill="1" applyBorder="1" applyAlignment="1">
      <alignment horizontal="right" vertical="center"/>
    </xf>
    <xf numFmtId="0" fontId="34" fillId="0" borderId="11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164" fontId="17" fillId="0" borderId="52" xfId="0" applyNumberFormat="1" applyFont="1" applyBorder="1" applyAlignment="1">
      <alignment horizontal="center" vertical="center" wrapText="1"/>
    </xf>
    <xf numFmtId="164" fontId="17" fillId="0" borderId="53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34" fillId="0" borderId="38" xfId="0" applyNumberFormat="1" applyFont="1" applyBorder="1" applyAlignment="1">
      <alignment horizontal="center" vertical="center" wrapText="1"/>
    </xf>
    <xf numFmtId="10" fontId="34" fillId="0" borderId="38" xfId="0" applyNumberFormat="1" applyFont="1" applyBorder="1" applyAlignment="1">
      <alignment horizontal="center" vertical="center"/>
    </xf>
    <xf numFmtId="0" fontId="30" fillId="0" borderId="20" xfId="21" applyFont="1" applyBorder="1" applyAlignment="1">
      <alignment horizontal="center" vertical="center" wrapText="1"/>
    </xf>
    <xf numFmtId="0" fontId="30" fillId="0" borderId="19" xfId="21" applyFont="1" applyBorder="1" applyAlignment="1">
      <alignment horizontal="center" vertical="center" wrapText="1"/>
    </xf>
    <xf numFmtId="0" fontId="30" fillId="0" borderId="36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1" fontId="2" fillId="0" borderId="2" xfId="21" applyNumberFormat="1" applyFont="1" applyBorder="1" applyAlignment="1">
      <alignment horizontal="left"/>
    </xf>
    <xf numFmtId="1" fontId="2" fillId="0" borderId="3" xfId="21" applyNumberFormat="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0" xfId="21" applyFont="1" applyFill="1" applyBorder="1" applyAlignment="1">
      <alignment horizontal="left" vertical="center" wrapText="1"/>
    </xf>
    <xf numFmtId="0" fontId="2" fillId="0" borderId="19" xfId="21" applyFont="1" applyFill="1" applyBorder="1" applyAlignment="1">
      <alignment horizontal="left" vertical="center" wrapText="1"/>
    </xf>
    <xf numFmtId="0" fontId="2" fillId="0" borderId="36" xfId="21" applyFont="1" applyFill="1" applyBorder="1" applyAlignment="1">
      <alignment horizontal="left" vertical="center" wrapText="1"/>
    </xf>
    <xf numFmtId="0" fontId="28" fillId="7" borderId="20" xfId="21" applyFont="1" applyFill="1" applyBorder="1" applyAlignment="1">
      <alignment horizontal="center" vertical="center" wrapText="1"/>
    </xf>
    <xf numFmtId="0" fontId="28" fillId="7" borderId="19" xfId="21" applyFont="1" applyFill="1" applyBorder="1" applyAlignment="1">
      <alignment horizontal="center" vertical="center" wrapText="1"/>
    </xf>
    <xf numFmtId="0" fontId="28" fillId="7" borderId="36" xfId="21" applyFont="1" applyFill="1" applyBorder="1" applyAlignment="1">
      <alignment horizontal="center" vertical="center" wrapText="1"/>
    </xf>
    <xf numFmtId="0" fontId="17" fillId="0" borderId="20" xfId="21" applyFont="1" applyBorder="1" applyAlignment="1">
      <alignment horizontal="center"/>
    </xf>
    <xf numFmtId="0" fontId="17" fillId="0" borderId="19" xfId="21" applyFont="1" applyBorder="1" applyAlignment="1">
      <alignment horizontal="center"/>
    </xf>
    <xf numFmtId="0" fontId="17" fillId="0" borderId="36" xfId="21" applyFont="1" applyBorder="1" applyAlignment="1">
      <alignment horizontal="center"/>
    </xf>
    <xf numFmtId="1" fontId="24" fillId="0" borderId="9" xfId="21" applyNumberFormat="1" applyFont="1" applyBorder="1" applyAlignment="1">
      <alignment horizontal="center" vertical="center"/>
    </xf>
    <xf numFmtId="1" fontId="24" fillId="0" borderId="10" xfId="21" applyNumberFormat="1" applyFont="1" applyBorder="1" applyAlignment="1">
      <alignment horizontal="center" vertical="center"/>
    </xf>
    <xf numFmtId="1" fontId="24" fillId="0" borderId="17" xfId="21" applyNumberFormat="1" applyFont="1" applyBorder="1" applyAlignment="1">
      <alignment horizontal="center" vertical="center"/>
    </xf>
    <xf numFmtId="0" fontId="2" fillId="0" borderId="3" xfId="21" applyFont="1" applyBorder="1" applyAlignment="1">
      <alignment horizontal="left"/>
    </xf>
    <xf numFmtId="0" fontId="17" fillId="0" borderId="27" xfId="21" applyFont="1" applyBorder="1" applyAlignment="1">
      <alignment horizontal="center" vertical="center"/>
    </xf>
    <xf numFmtId="0" fontId="17" fillId="0" borderId="19" xfId="21" applyFont="1" applyBorder="1" applyAlignment="1">
      <alignment horizontal="center" vertical="center"/>
    </xf>
    <xf numFmtId="0" fontId="17" fillId="0" borderId="28" xfId="21" applyFont="1" applyBorder="1" applyAlignment="1">
      <alignment horizontal="center" vertical="center"/>
    </xf>
    <xf numFmtId="1" fontId="24" fillId="7" borderId="27" xfId="21" applyNumberFormat="1" applyFont="1" applyFill="1" applyBorder="1" applyAlignment="1">
      <alignment horizontal="left"/>
    </xf>
    <xf numFmtId="1" fontId="24" fillId="7" borderId="19" xfId="21" applyNumberFormat="1" applyFont="1" applyFill="1" applyBorder="1" applyAlignment="1">
      <alignment horizontal="left"/>
    </xf>
    <xf numFmtId="1" fontId="24" fillId="7" borderId="28" xfId="21" applyNumberFormat="1" applyFont="1" applyFill="1" applyBorder="1" applyAlignment="1">
      <alignment horizontal="left"/>
    </xf>
    <xf numFmtId="1" fontId="2" fillId="0" borderId="32" xfId="21" applyNumberFormat="1" applyFont="1" applyBorder="1" applyAlignment="1">
      <alignment horizontal="left"/>
    </xf>
    <xf numFmtId="0" fontId="2" fillId="0" borderId="33" xfId="21" applyFont="1" applyBorder="1" applyAlignment="1">
      <alignment horizontal="left"/>
    </xf>
    <xf numFmtId="0" fontId="2" fillId="0" borderId="33" xfId="21" applyBorder="1" applyAlignment="1">
      <alignment horizontal="left"/>
    </xf>
    <xf numFmtId="0" fontId="2" fillId="0" borderId="34" xfId="21" applyBorder="1" applyAlignment="1">
      <alignment horizontal="left"/>
    </xf>
    <xf numFmtId="1" fontId="2" fillId="0" borderId="40" xfId="21" applyNumberFormat="1" applyFont="1" applyBorder="1" applyAlignment="1">
      <alignment horizontal="left"/>
    </xf>
    <xf numFmtId="0" fontId="2" fillId="0" borderId="41" xfId="21" applyFont="1" applyBorder="1" applyAlignment="1">
      <alignment horizontal="left"/>
    </xf>
    <xf numFmtId="0" fontId="2" fillId="0" borderId="41" xfId="21" applyBorder="1" applyAlignment="1">
      <alignment horizontal="left"/>
    </xf>
    <xf numFmtId="0" fontId="2" fillId="0" borderId="42" xfId="21" applyBorder="1" applyAlignment="1">
      <alignment horizontal="left"/>
    </xf>
    <xf numFmtId="0" fontId="24" fillId="7" borderId="19" xfId="21" applyFont="1" applyFill="1" applyBorder="1" applyAlignment="1">
      <alignment horizontal="left"/>
    </xf>
    <xf numFmtId="0" fontId="2" fillId="7" borderId="19" xfId="21" applyFill="1" applyBorder="1" applyAlignment="1">
      <alignment horizontal="left"/>
    </xf>
    <xf numFmtId="0" fontId="2" fillId="7" borderId="28" xfId="21" applyFill="1" applyBorder="1" applyAlignment="1">
      <alignment horizontal="left"/>
    </xf>
    <xf numFmtId="1" fontId="2" fillId="0" borderId="27" xfId="21" applyNumberFormat="1" applyFont="1" applyBorder="1" applyAlignment="1">
      <alignment horizontal="left"/>
    </xf>
    <xf numFmtId="0" fontId="2" fillId="0" borderId="19" xfId="21" applyFont="1" applyBorder="1" applyAlignment="1">
      <alignment horizontal="left"/>
    </xf>
    <xf numFmtId="0" fontId="2" fillId="0" borderId="19" xfId="21" applyBorder="1" applyAlignment="1">
      <alignment horizontal="left"/>
    </xf>
    <xf numFmtId="0" fontId="2" fillId="0" borderId="28" xfId="21" applyBorder="1" applyAlignment="1">
      <alignment horizontal="left"/>
    </xf>
    <xf numFmtId="1" fontId="2" fillId="0" borderId="33" xfId="21" applyNumberFormat="1" applyFont="1" applyBorder="1" applyAlignment="1">
      <alignment horizontal="left"/>
    </xf>
    <xf numFmtId="0" fontId="34" fillId="0" borderId="56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24" fillId="0" borderId="18" xfId="21" applyNumberFormat="1" applyFont="1" applyFill="1" applyBorder="1" applyAlignment="1">
      <alignment horizontal="center" vertical="center"/>
    </xf>
    <xf numFmtId="2" fontId="24" fillId="0" borderId="18" xfId="28" applyNumberFormat="1" applyFont="1" applyFill="1" applyBorder="1" applyAlignment="1">
      <alignment horizontal="center" vertical="center"/>
    </xf>
    <xf numFmtId="0" fontId="22" fillId="0" borderId="6" xfId="21" applyFont="1" applyFill="1" applyBorder="1" applyAlignment="1">
      <alignment horizontal="center" vertical="center"/>
    </xf>
    <xf numFmtId="0" fontId="22" fillId="0" borderId="7" xfId="21" applyFont="1" applyFill="1" applyBorder="1" applyAlignment="1">
      <alignment horizontal="center" vertical="center"/>
    </xf>
    <xf numFmtId="0" fontId="22" fillId="0" borderId="15" xfId="21" applyFont="1" applyFill="1" applyBorder="1" applyAlignment="1">
      <alignment horizontal="center" vertical="center"/>
    </xf>
    <xf numFmtId="0" fontId="22" fillId="0" borderId="8" xfId="21" applyFont="1" applyFill="1" applyBorder="1" applyAlignment="1">
      <alignment horizontal="center" vertical="center"/>
    </xf>
    <xf numFmtId="0" fontId="22" fillId="0" borderId="0" xfId="21" applyFont="1" applyFill="1" applyBorder="1" applyAlignment="1">
      <alignment horizontal="center" vertical="center"/>
    </xf>
    <xf numFmtId="0" fontId="22" fillId="0" borderId="16" xfId="21" applyFont="1" applyFill="1" applyBorder="1" applyAlignment="1">
      <alignment horizontal="center" vertical="center"/>
    </xf>
    <xf numFmtId="0" fontId="22" fillId="0" borderId="9" xfId="21" applyFont="1" applyFill="1" applyBorder="1" applyAlignment="1">
      <alignment horizontal="center" vertical="center"/>
    </xf>
    <xf numFmtId="0" fontId="22" fillId="0" borderId="10" xfId="21" applyFont="1" applyFill="1" applyBorder="1" applyAlignment="1">
      <alignment horizontal="center" vertical="center"/>
    </xf>
    <xf numFmtId="0" fontId="22" fillId="0" borderId="17" xfId="21" applyFont="1" applyFill="1" applyBorder="1" applyAlignment="1">
      <alignment horizontal="center" vertical="center"/>
    </xf>
    <xf numFmtId="10" fontId="24" fillId="0" borderId="18" xfId="2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4" fillId="0" borderId="40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1" xfId="0" applyNumberFormat="1" applyFont="1" applyBorder="1" applyAlignment="1">
      <alignment horizontal="center" vertical="center"/>
    </xf>
    <xf numFmtId="0" fontId="34" fillId="0" borderId="47" xfId="0" applyNumberFormat="1" applyFont="1" applyBorder="1" applyAlignment="1">
      <alignment horizontal="center" vertical="center"/>
    </xf>
    <xf numFmtId="10" fontId="34" fillId="0" borderId="48" xfId="0" applyNumberFormat="1" applyFont="1" applyBorder="1" applyAlignment="1">
      <alignment horizontal="center" vertical="center"/>
    </xf>
    <xf numFmtId="0" fontId="36" fillId="0" borderId="58" xfId="0" applyFont="1" applyFill="1" applyBorder="1" applyAlignment="1">
      <alignment horizontal="left" vertical="center"/>
    </xf>
    <xf numFmtId="0" fontId="36" fillId="8" borderId="26" xfId="0" applyFont="1" applyFill="1" applyBorder="1" applyAlignment="1">
      <alignment horizontal="center" vertical="center"/>
    </xf>
    <xf numFmtId="0" fontId="36" fillId="8" borderId="22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168" fontId="35" fillId="9" borderId="38" xfId="0" applyNumberFormat="1" applyFont="1" applyFill="1" applyBorder="1" applyAlignment="1">
      <alignment horizontal="center" vertical="center"/>
    </xf>
    <xf numFmtId="0" fontId="34" fillId="7" borderId="46" xfId="0" applyFont="1" applyFill="1" applyBorder="1" applyAlignment="1">
      <alignment horizontal="right" vertical="center"/>
    </xf>
    <xf numFmtId="0" fontId="34" fillId="7" borderId="47" xfId="0" applyFont="1" applyFill="1" applyBorder="1" applyAlignment="1">
      <alignment horizontal="right" vertical="center"/>
    </xf>
    <xf numFmtId="168" fontId="34" fillId="7" borderId="47" xfId="0" applyNumberFormat="1" applyFont="1" applyFill="1" applyBorder="1" applyAlignment="1">
      <alignment horizontal="right" vertical="center"/>
    </xf>
    <xf numFmtId="168" fontId="23" fillId="7" borderId="48" xfId="0" applyNumberFormat="1" applyFont="1" applyFill="1" applyBorder="1" applyAlignment="1">
      <alignment horizontal="center" vertical="center"/>
    </xf>
    <xf numFmtId="0" fontId="36" fillId="8" borderId="32" xfId="0" applyFont="1" applyFill="1" applyBorder="1" applyAlignment="1">
      <alignment horizontal="center" vertical="center"/>
    </xf>
    <xf numFmtId="10" fontId="34" fillId="0" borderId="2" xfId="0" applyNumberFormat="1" applyFont="1" applyBorder="1" applyAlignment="1">
      <alignment horizontal="center" vertical="center"/>
    </xf>
    <xf numFmtId="10" fontId="34" fillId="7" borderId="40" xfId="0" applyNumberFormat="1" applyFont="1" applyFill="1" applyBorder="1" applyAlignment="1">
      <alignment horizontal="center" vertical="center"/>
    </xf>
    <xf numFmtId="0" fontId="36" fillId="8" borderId="34" xfId="0" applyFont="1" applyFill="1" applyBorder="1" applyAlignment="1">
      <alignment horizontal="center" vertical="center"/>
    </xf>
    <xf numFmtId="168" fontId="35" fillId="0" borderId="4" xfId="0" applyNumberFormat="1" applyFont="1" applyBorder="1" applyAlignment="1">
      <alignment horizontal="right" vertical="center"/>
    </xf>
    <xf numFmtId="168" fontId="23" fillId="7" borderId="42" xfId="0" applyNumberFormat="1" applyFont="1" applyFill="1" applyBorder="1" applyAlignment="1">
      <alignment horizontal="right" vertical="center"/>
    </xf>
    <xf numFmtId="168" fontId="35" fillId="9" borderId="37" xfId="0" applyNumberFormat="1" applyFont="1" applyFill="1" applyBorder="1" applyAlignment="1">
      <alignment horizontal="right" vertical="center"/>
    </xf>
    <xf numFmtId="169" fontId="37" fillId="9" borderId="38" xfId="0" applyNumberFormat="1" applyFont="1" applyFill="1" applyBorder="1" applyAlignment="1">
      <alignment horizontal="center" vertical="center"/>
    </xf>
    <xf numFmtId="168" fontId="23" fillId="7" borderId="46" xfId="0" applyNumberFormat="1" applyFont="1" applyFill="1" applyBorder="1" applyAlignment="1">
      <alignment horizontal="right" vertical="center"/>
    </xf>
    <xf numFmtId="10" fontId="23" fillId="7" borderId="48" xfId="0" applyNumberFormat="1" applyFont="1" applyFill="1" applyBorder="1" applyAlignment="1">
      <alignment horizontal="center" vertical="center"/>
    </xf>
    <xf numFmtId="169" fontId="37" fillId="0" borderId="2" xfId="0" applyNumberFormat="1" applyFont="1" applyBorder="1" applyAlignment="1">
      <alignment horizontal="center" vertical="center"/>
    </xf>
    <xf numFmtId="10" fontId="23" fillId="7" borderId="40" xfId="0" applyNumberFormat="1" applyFont="1" applyFill="1" applyBorder="1" applyAlignment="1">
      <alignment horizontal="center" vertical="center"/>
    </xf>
    <xf numFmtId="169" fontId="37" fillId="9" borderId="37" xfId="0" applyNumberFormat="1" applyFont="1" applyFill="1" applyBorder="1" applyAlignment="1">
      <alignment horizontal="center" vertical="center"/>
    </xf>
    <xf numFmtId="9" fontId="23" fillId="7" borderId="46" xfId="28" applyFont="1" applyFill="1" applyBorder="1" applyAlignment="1">
      <alignment horizontal="center" vertical="center"/>
    </xf>
  </cellXfs>
  <cellStyles count="29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Normal_Orçamento Padrão-03-2014" xfId="27"/>
    <cellStyle name="Porcentagem" xfId="28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" xfId="26" builtinId="3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126574</xdr:colOff>
      <xdr:row>1</xdr:row>
      <xdr:rowOff>149130</xdr:rowOff>
    </xdr:from>
    <xdr:to>
      <xdr:col>2</xdr:col>
      <xdr:colOff>481852</xdr:colOff>
      <xdr:row>2</xdr:row>
      <xdr:rowOff>220761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545" y="339630"/>
          <a:ext cx="1666366" cy="553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</xdr:colOff>
      <xdr:row>1</xdr:row>
      <xdr:rowOff>91109</xdr:rowOff>
    </xdr:from>
    <xdr:to>
      <xdr:col>2</xdr:col>
      <xdr:colOff>1235671</xdr:colOff>
      <xdr:row>2</xdr:row>
      <xdr:rowOff>305006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281609"/>
          <a:ext cx="1666366" cy="553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91108</xdr:colOff>
      <xdr:row>0</xdr:row>
      <xdr:rowOff>91109</xdr:rowOff>
    </xdr:from>
    <xdr:to>
      <xdr:col>1</xdr:col>
      <xdr:colOff>854670</xdr:colOff>
      <xdr:row>3</xdr:row>
      <xdr:rowOff>147636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08" y="91109"/>
          <a:ext cx="1666366" cy="553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95250</xdr:colOff>
      <xdr:row>0</xdr:row>
      <xdr:rowOff>136071</xdr:rowOff>
    </xdr:from>
    <xdr:to>
      <xdr:col>2</xdr:col>
      <xdr:colOff>278437</xdr:colOff>
      <xdr:row>3</xdr:row>
      <xdr:rowOff>118055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6071"/>
          <a:ext cx="1666366" cy="5534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APIAC&#193;S/004%20-%20PLANILHA%20DE%20MEDI&#199;&#195;O/Planilha%20Or&#231;amentaria%20Apiacas%20REV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NAC%20-%20PLANILHA%20OR&#199;AMENT&#193;R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PLanilha%20Proje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PLANILHA%20OR&#199;AMENT&#193;RIA%20-%20NOVA%20CANA&#195;%20DO%20NORTE%20-%20%20LICITA&#199;&#195;O%20-%20Des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Referência"/>
      <sheetName val="Composição"/>
      <sheetName val="COTAÇÃO"/>
      <sheetName val="Muro+Gradil"/>
      <sheetName val="Pilares"/>
      <sheetName val="Vigas Cobertura"/>
      <sheetName val="Vigas Cinta"/>
      <sheetName val="Total Aço"/>
      <sheetName val="Concreto e Forma"/>
      <sheetName val="Chapisco-laje-reboco-piso"/>
      <sheetName val="Portas e Janelas"/>
      <sheetName val="Granito"/>
      <sheetName val="Alvenaria"/>
      <sheetName val="Placa da Obra"/>
      <sheetName val="Cobertura"/>
      <sheetName val="spda"/>
    </sheetNames>
    <sheetDataSet>
      <sheetData sheetId="0"/>
      <sheetData sheetId="1">
        <row r="189">
          <cell r="C189" t="str">
            <v>M²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</row>
        <row r="8">
          <cell r="C8" t="str">
            <v>BDI: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ilha Orçamentária"/>
      <sheetName val="Composições"/>
      <sheetName val="Cronograma"/>
      <sheetName val="BDI"/>
    </sheetNames>
    <sheetDataSet>
      <sheetData sheetId="0">
        <row r="6">
          <cell r="D6" t="str">
            <v>SINAPI-MT
DES_NOV/2021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1"/>
  <sheetViews>
    <sheetView view="pageBreakPreview" zoomScale="85" zoomScaleNormal="115" zoomScaleSheetLayoutView="85" workbookViewId="0">
      <selection activeCell="C23" sqref="C23"/>
    </sheetView>
  </sheetViews>
  <sheetFormatPr defaultColWidth="9.140625" defaultRowHeight="14.25" x14ac:dyDescent="0.2"/>
  <cols>
    <col min="1" max="1" width="4.85546875" style="44" customWidth="1"/>
    <col min="2" max="2" width="19.7109375" style="100" customWidth="1"/>
    <col min="3" max="3" width="99.28515625" style="46" customWidth="1"/>
    <col min="4" max="4" width="25.5703125" style="48" customWidth="1"/>
    <col min="5" max="5" width="1.140625" style="44" customWidth="1"/>
    <col min="6" max="6" width="21.85546875" style="45" customWidth="1"/>
    <col min="7" max="16384" width="9.140625" style="45"/>
  </cols>
  <sheetData>
    <row r="1" spans="1:29" ht="15" thickBot="1" x14ac:dyDescent="0.25"/>
    <row r="2" spans="1:29" ht="38.25" customHeight="1" x14ac:dyDescent="0.2">
      <c r="B2" s="247"/>
      <c r="C2" s="248" t="s">
        <v>222</v>
      </c>
      <c r="D2" s="268" t="s">
        <v>14</v>
      </c>
      <c r="E2" s="262"/>
    </row>
    <row r="3" spans="1:29" ht="23.25" customHeight="1" x14ac:dyDescent="0.2">
      <c r="B3" s="249"/>
      <c r="C3" s="246" t="s">
        <v>224</v>
      </c>
      <c r="D3" s="269"/>
      <c r="E3" s="262"/>
    </row>
    <row r="4" spans="1:29" ht="15" customHeight="1" x14ac:dyDescent="0.2">
      <c r="B4" s="250"/>
      <c r="C4" s="245"/>
      <c r="D4" s="251" t="s">
        <v>105</v>
      </c>
      <c r="E4" s="244">
        <v>0.24510000000000001</v>
      </c>
    </row>
    <row r="5" spans="1:29" x14ac:dyDescent="0.2">
      <c r="B5" s="252" t="s">
        <v>147</v>
      </c>
      <c r="C5" s="265" t="s">
        <v>223</v>
      </c>
      <c r="D5" s="266"/>
      <c r="E5" s="243"/>
      <c r="F5" s="243"/>
      <c r="G5" s="243"/>
    </row>
    <row r="6" spans="1:29" x14ac:dyDescent="0.2">
      <c r="B6" s="175" t="s">
        <v>148</v>
      </c>
      <c r="C6" s="267" t="s">
        <v>219</v>
      </c>
      <c r="D6" s="266"/>
      <c r="E6" s="243"/>
      <c r="F6" s="243"/>
      <c r="G6" s="243"/>
    </row>
    <row r="7" spans="1:29" x14ac:dyDescent="0.2">
      <c r="B7" s="175" t="s">
        <v>149</v>
      </c>
      <c r="C7" s="267" t="s">
        <v>220</v>
      </c>
      <c r="D7" s="266"/>
      <c r="E7" s="243"/>
      <c r="F7" s="243"/>
      <c r="G7" s="243"/>
    </row>
    <row r="8" spans="1:29" x14ac:dyDescent="0.2">
      <c r="B8" s="175" t="s">
        <v>150</v>
      </c>
      <c r="C8" s="267" t="s">
        <v>227</v>
      </c>
      <c r="D8" s="266"/>
      <c r="E8" s="243"/>
      <c r="F8" s="243"/>
      <c r="G8" s="243"/>
    </row>
    <row r="9" spans="1:29" ht="19.5" customHeight="1" x14ac:dyDescent="0.2">
      <c r="B9" s="253"/>
      <c r="C9" s="254"/>
      <c r="D9" s="255"/>
    </row>
    <row r="10" spans="1:29" ht="45.75" customHeight="1" x14ac:dyDescent="0.2">
      <c r="B10" s="256" t="s">
        <v>2</v>
      </c>
      <c r="C10" s="242" t="s">
        <v>3</v>
      </c>
      <c r="D10" s="257" t="s">
        <v>5</v>
      </c>
      <c r="E10" s="57"/>
    </row>
    <row r="11" spans="1:29" ht="22.5" customHeight="1" x14ac:dyDescent="0.25">
      <c r="B11" s="258">
        <v>1</v>
      </c>
      <c r="C11" s="240" t="s">
        <v>27</v>
      </c>
      <c r="D11" s="259">
        <f>'P. Referência'!I11</f>
        <v>3897.7200000000003</v>
      </c>
    </row>
    <row r="12" spans="1:29" ht="22.5" customHeight="1" x14ac:dyDescent="0.25">
      <c r="A12" s="45"/>
      <c r="B12" s="258">
        <v>2</v>
      </c>
      <c r="C12" s="239" t="s">
        <v>60</v>
      </c>
      <c r="D12" s="259">
        <f>'P. Referência'!I17</f>
        <v>1896.38</v>
      </c>
      <c r="E12" s="45"/>
    </row>
    <row r="13" spans="1:29" ht="22.5" customHeight="1" x14ac:dyDescent="0.25">
      <c r="B13" s="258">
        <v>3</v>
      </c>
      <c r="C13" s="240" t="s">
        <v>40</v>
      </c>
      <c r="D13" s="259">
        <f>'P. Referência'!I22</f>
        <v>997.16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s="72" customFormat="1" ht="22.5" customHeight="1" x14ac:dyDescent="0.25">
      <c r="A14" s="44"/>
      <c r="B14" s="258">
        <v>4</v>
      </c>
      <c r="C14" s="240" t="s">
        <v>186</v>
      </c>
      <c r="D14" s="259">
        <f>'P. Referência'!I36</f>
        <v>81924.26999999999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ht="22.5" customHeight="1" x14ac:dyDescent="0.25">
      <c r="B15" s="258">
        <v>5</v>
      </c>
      <c r="C15" s="241" t="s">
        <v>124</v>
      </c>
      <c r="D15" s="259">
        <f>'P. Referência'!I50</f>
        <v>38217.68</v>
      </c>
    </row>
    <row r="16" spans="1:29" s="182" customFormat="1" ht="22.5" customHeight="1" x14ac:dyDescent="0.25">
      <c r="B16" s="258">
        <v>6</v>
      </c>
      <c r="C16" s="241" t="s">
        <v>137</v>
      </c>
      <c r="D16" s="259">
        <f>'P. Referência'!I61</f>
        <v>1363.73</v>
      </c>
    </row>
    <row r="17" spans="1:6" s="205" customFormat="1" ht="22.5" customHeight="1" x14ac:dyDescent="0.25">
      <c r="A17" s="182"/>
      <c r="B17" s="258">
        <v>7</v>
      </c>
      <c r="C17" s="241" t="s">
        <v>69</v>
      </c>
      <c r="D17" s="259">
        <f>'P. Referência'!I68</f>
        <v>1858.1399999999999</v>
      </c>
      <c r="E17" s="182"/>
    </row>
    <row r="18" spans="1:6" ht="29.25" customHeight="1" thickBot="1" x14ac:dyDescent="0.25">
      <c r="B18" s="263" t="s">
        <v>221</v>
      </c>
      <c r="C18" s="264"/>
      <c r="D18" s="260">
        <f>SUM(D11:D17)</f>
        <v>130155.07999999999</v>
      </c>
      <c r="F18" s="48"/>
    </row>
    <row r="21" spans="1:6" x14ac:dyDescent="0.2">
      <c r="D21" s="78"/>
    </row>
  </sheetData>
  <mergeCells count="7">
    <mergeCell ref="E2:E3"/>
    <mergeCell ref="B18:C18"/>
    <mergeCell ref="C5:D5"/>
    <mergeCell ref="C6:D6"/>
    <mergeCell ref="C7:D7"/>
    <mergeCell ref="C8:D8"/>
    <mergeCell ref="D2:D3"/>
  </mergeCells>
  <printOptions horizontalCentered="1" verticalCentered="1"/>
  <pageMargins left="0.25" right="0.25" top="0.75" bottom="0.75" header="0.3" footer="0.3"/>
  <pageSetup paperSize="9" scale="9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75"/>
  <sheetViews>
    <sheetView tabSelected="1" zoomScale="115" zoomScaleNormal="115" workbookViewId="0">
      <selection activeCell="B2" sqref="B2:H5"/>
    </sheetView>
  </sheetViews>
  <sheetFormatPr defaultColWidth="9.140625" defaultRowHeight="14.25" x14ac:dyDescent="0.2"/>
  <cols>
    <col min="1" max="1" width="4.85546875" style="44" customWidth="1"/>
    <col min="2" max="2" width="7.140625" style="100" customWidth="1"/>
    <col min="3" max="3" width="19.140625" style="45" customWidth="1"/>
    <col min="4" max="4" width="88.85546875" style="46" customWidth="1"/>
    <col min="5" max="5" width="5.7109375" style="45" customWidth="1"/>
    <col min="6" max="6" width="10.85546875" style="45" customWidth="1"/>
    <col min="7" max="7" width="20.140625" style="47" bestFit="1" customWidth="1"/>
    <col min="8" max="8" width="16.7109375" style="48" customWidth="1"/>
    <col min="9" max="9" width="25.5703125" style="48" customWidth="1"/>
    <col min="10" max="10" width="1.140625" style="44" customWidth="1"/>
    <col min="11" max="11" width="21.85546875" style="45" customWidth="1"/>
    <col min="12" max="16384" width="9.140625" style="45"/>
  </cols>
  <sheetData>
    <row r="1" spans="1:34" ht="15" thickBot="1" x14ac:dyDescent="0.25"/>
    <row r="2" spans="1:34" ht="27" customHeight="1" x14ac:dyDescent="0.2">
      <c r="B2" s="278" t="s">
        <v>225</v>
      </c>
      <c r="C2" s="279"/>
      <c r="D2" s="279"/>
      <c r="E2" s="279"/>
      <c r="F2" s="279"/>
      <c r="G2" s="279"/>
      <c r="H2" s="280"/>
      <c r="I2" s="273" t="s">
        <v>14</v>
      </c>
      <c r="J2" s="275"/>
    </row>
    <row r="3" spans="1:34" ht="27" customHeight="1" thickBot="1" x14ac:dyDescent="0.25">
      <c r="B3" s="281"/>
      <c r="C3" s="282"/>
      <c r="D3" s="282"/>
      <c r="E3" s="282"/>
      <c r="F3" s="282"/>
      <c r="G3" s="282"/>
      <c r="H3" s="283"/>
      <c r="I3" s="274"/>
      <c r="J3" s="275"/>
    </row>
    <row r="4" spans="1:34" ht="15" customHeight="1" x14ac:dyDescent="0.2">
      <c r="B4" s="281"/>
      <c r="C4" s="282"/>
      <c r="D4" s="282"/>
      <c r="E4" s="282"/>
      <c r="F4" s="282"/>
      <c r="G4" s="282"/>
      <c r="H4" s="283"/>
      <c r="I4" s="276" t="s">
        <v>105</v>
      </c>
      <c r="J4" s="49">
        <v>0.24510000000000001</v>
      </c>
    </row>
    <row r="5" spans="1:34" ht="33" customHeight="1" thickBot="1" x14ac:dyDescent="0.25">
      <c r="B5" s="284"/>
      <c r="C5" s="285"/>
      <c r="D5" s="285"/>
      <c r="E5" s="285"/>
      <c r="F5" s="285"/>
      <c r="G5" s="285"/>
      <c r="H5" s="286"/>
      <c r="I5" s="277"/>
      <c r="J5" s="50"/>
    </row>
    <row r="6" spans="1:34" ht="6" customHeight="1" thickBot="1" x14ac:dyDescent="0.25">
      <c r="B6" s="209"/>
      <c r="C6" s="182"/>
      <c r="D6" s="210"/>
      <c r="E6" s="88"/>
      <c r="F6" s="88"/>
      <c r="G6" s="211"/>
      <c r="H6" s="212"/>
      <c r="I6" s="212"/>
    </row>
    <row r="7" spans="1:34" ht="45.75" customHeight="1" thickBot="1" x14ac:dyDescent="0.25">
      <c r="B7" s="51" t="s">
        <v>2</v>
      </c>
      <c r="C7" s="51" t="s">
        <v>8</v>
      </c>
      <c r="D7" s="52" t="s">
        <v>3</v>
      </c>
      <c r="E7" s="53" t="s">
        <v>4</v>
      </c>
      <c r="F7" s="53" t="s">
        <v>28</v>
      </c>
      <c r="G7" s="54" t="s">
        <v>30</v>
      </c>
      <c r="H7" s="55" t="s">
        <v>89</v>
      </c>
      <c r="I7" s="56" t="s">
        <v>5</v>
      </c>
      <c r="J7" s="57"/>
    </row>
    <row r="8" spans="1:34" ht="15" x14ac:dyDescent="0.25">
      <c r="B8" s="58">
        <v>1</v>
      </c>
      <c r="C8" s="59"/>
      <c r="D8" s="60" t="s">
        <v>27</v>
      </c>
      <c r="E8" s="61"/>
      <c r="F8" s="61"/>
      <c r="G8" s="62"/>
      <c r="H8" s="63"/>
      <c r="I8" s="64"/>
    </row>
    <row r="9" spans="1:34" s="44" customFormat="1" ht="16.5" customHeight="1" x14ac:dyDescent="0.2">
      <c r="B9" s="65" t="s">
        <v>81</v>
      </c>
      <c r="C9" s="65">
        <v>90777</v>
      </c>
      <c r="D9" s="80" t="s">
        <v>104</v>
      </c>
      <c r="E9" s="65" t="s">
        <v>20</v>
      </c>
      <c r="F9" s="66">
        <f>2*2*4</f>
        <v>16</v>
      </c>
      <c r="G9" s="81">
        <v>81.02</v>
      </c>
      <c r="H9" s="67">
        <f>G9*1.2835</f>
        <v>103.98917</v>
      </c>
      <c r="I9" s="81">
        <f>TRUNC(H9*F9,2)</f>
        <v>1663.82</v>
      </c>
    </row>
    <row r="10" spans="1:34" s="44" customFormat="1" ht="16.5" customHeight="1" x14ac:dyDescent="0.2">
      <c r="B10" s="65" t="s">
        <v>32</v>
      </c>
      <c r="C10" s="101">
        <v>90776</v>
      </c>
      <c r="D10" s="82" t="s">
        <v>29</v>
      </c>
      <c r="E10" s="65" t="s">
        <v>20</v>
      </c>
      <c r="F10" s="66">
        <v>84</v>
      </c>
      <c r="G10" s="81">
        <v>20.72</v>
      </c>
      <c r="H10" s="67">
        <f>G10*1.2835</f>
        <v>26.59412</v>
      </c>
      <c r="I10" s="81">
        <f>TRUNC(H10*F10,2)</f>
        <v>2233.9</v>
      </c>
    </row>
    <row r="11" spans="1:34" s="72" customFormat="1" ht="15" x14ac:dyDescent="0.2">
      <c r="A11" s="44"/>
      <c r="B11" s="68"/>
      <c r="C11" s="89"/>
      <c r="D11" s="90"/>
      <c r="E11" s="91"/>
      <c r="F11" s="69"/>
      <c r="G11" s="70" t="s">
        <v>1</v>
      </c>
      <c r="H11" s="71"/>
      <c r="I11" s="71">
        <f>SUM(I9:I10)</f>
        <v>3897.7200000000003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s="44" customFormat="1" ht="15" x14ac:dyDescent="0.2">
      <c r="B12" s="65"/>
      <c r="C12" s="213"/>
      <c r="D12" s="214"/>
      <c r="E12" s="215"/>
      <c r="F12" s="216"/>
      <c r="G12" s="217"/>
      <c r="H12" s="218"/>
      <c r="I12" s="218"/>
    </row>
    <row r="13" spans="1:34" ht="15" x14ac:dyDescent="0.25">
      <c r="A13" s="45"/>
      <c r="B13" s="73">
        <v>2</v>
      </c>
      <c r="C13" s="74"/>
      <c r="D13" s="75" t="s">
        <v>60</v>
      </c>
      <c r="E13" s="76"/>
      <c r="F13" s="74"/>
      <c r="G13" s="77"/>
      <c r="H13" s="77"/>
      <c r="I13" s="77"/>
      <c r="J13" s="45"/>
    </row>
    <row r="14" spans="1:34" s="44" customFormat="1" ht="17.25" customHeight="1" x14ac:dyDescent="0.2">
      <c r="B14" s="65" t="s">
        <v>33</v>
      </c>
      <c r="C14" s="65" t="s">
        <v>10</v>
      </c>
      <c r="D14" s="83" t="s">
        <v>48</v>
      </c>
      <c r="E14" s="84" t="s">
        <v>21</v>
      </c>
      <c r="F14" s="85">
        <v>1</v>
      </c>
      <c r="G14" s="81">
        <f>Composições!F2</f>
        <v>477.54999999999995</v>
      </c>
      <c r="H14" s="67">
        <f>G14*1.2835</f>
        <v>612.93542500000001</v>
      </c>
      <c r="I14" s="81">
        <f t="shared" ref="I14:I16" si="0">TRUNC(H14*F14,2)</f>
        <v>612.92999999999995</v>
      </c>
    </row>
    <row r="15" spans="1:34" s="44" customFormat="1" ht="28.5" x14ac:dyDescent="0.2">
      <c r="B15" s="65" t="s">
        <v>45</v>
      </c>
      <c r="C15" s="65" t="s">
        <v>11</v>
      </c>
      <c r="D15" s="83" t="s">
        <v>49</v>
      </c>
      <c r="E15" s="65" t="s">
        <v>0</v>
      </c>
      <c r="F15" s="85">
        <v>1</v>
      </c>
      <c r="G15" s="81">
        <f>Composições!F6</f>
        <v>299.96400000000006</v>
      </c>
      <c r="H15" s="67">
        <f>G15*1.2835</f>
        <v>385.00379400000008</v>
      </c>
      <c r="I15" s="81">
        <f t="shared" si="0"/>
        <v>385</v>
      </c>
    </row>
    <row r="16" spans="1:34" s="44" customFormat="1" ht="15" customHeight="1" x14ac:dyDescent="0.2">
      <c r="B16" s="65" t="s">
        <v>71</v>
      </c>
      <c r="C16" s="65" t="s">
        <v>46</v>
      </c>
      <c r="D16" s="83" t="s">
        <v>47</v>
      </c>
      <c r="E16" s="65" t="s">
        <v>21</v>
      </c>
      <c r="F16" s="85">
        <v>2</v>
      </c>
      <c r="G16" s="81">
        <v>350</v>
      </c>
      <c r="H16" s="67">
        <f>G16*1.2835</f>
        <v>449.22500000000002</v>
      </c>
      <c r="I16" s="81">
        <f t="shared" si="0"/>
        <v>898.45</v>
      </c>
    </row>
    <row r="17" spans="1:34" ht="15" customHeight="1" x14ac:dyDescent="0.2">
      <c r="A17" s="45"/>
      <c r="B17" s="68"/>
      <c r="C17" s="92"/>
      <c r="D17" s="93"/>
      <c r="E17" s="91"/>
      <c r="F17" s="94"/>
      <c r="G17" s="70" t="s">
        <v>1</v>
      </c>
      <c r="H17" s="95"/>
      <c r="I17" s="71">
        <f>SUM(I14:I16)</f>
        <v>1896.38</v>
      </c>
      <c r="J17" s="45"/>
    </row>
    <row r="18" spans="1:34" ht="15" customHeight="1" x14ac:dyDescent="0.2">
      <c r="A18" s="45"/>
      <c r="B18" s="219"/>
      <c r="C18" s="220"/>
      <c r="D18" s="221"/>
      <c r="E18" s="222"/>
      <c r="F18" s="223"/>
      <c r="G18" s="224"/>
      <c r="H18" s="225"/>
      <c r="I18" s="177"/>
      <c r="J18" s="45"/>
    </row>
    <row r="19" spans="1:34" ht="15" x14ac:dyDescent="0.25">
      <c r="B19" s="58">
        <v>3</v>
      </c>
      <c r="C19" s="59"/>
      <c r="D19" s="60" t="s">
        <v>40</v>
      </c>
      <c r="E19" s="61"/>
      <c r="F19" s="61"/>
      <c r="G19" s="62"/>
      <c r="H19" s="63"/>
      <c r="I19" s="6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 s="44" customFormat="1" x14ac:dyDescent="0.2">
      <c r="B20" s="65" t="s">
        <v>34</v>
      </c>
      <c r="C20" s="65" t="s">
        <v>61</v>
      </c>
      <c r="D20" s="87" t="s">
        <v>41</v>
      </c>
      <c r="E20" s="65" t="s">
        <v>21</v>
      </c>
      <c r="F20" s="66">
        <v>1</v>
      </c>
      <c r="G20" s="81">
        <f>Composições!F13</f>
        <v>388.46</v>
      </c>
      <c r="H20" s="67">
        <f>G20*1.2835</f>
        <v>498.58841000000001</v>
      </c>
      <c r="I20" s="81">
        <f t="shared" ref="I20:I21" si="1">TRUNC(H20*F20,2)</f>
        <v>498.58</v>
      </c>
    </row>
    <row r="21" spans="1:34" s="44" customFormat="1" x14ac:dyDescent="0.2">
      <c r="B21" s="65" t="s">
        <v>31</v>
      </c>
      <c r="C21" s="88" t="s">
        <v>13</v>
      </c>
      <c r="D21" s="87" t="s">
        <v>44</v>
      </c>
      <c r="E21" s="65" t="s">
        <v>21</v>
      </c>
      <c r="F21" s="66">
        <v>1</v>
      </c>
      <c r="G21" s="81">
        <f>Composições!F17</f>
        <v>388.46</v>
      </c>
      <c r="H21" s="67">
        <f>G21*1.2835</f>
        <v>498.58841000000001</v>
      </c>
      <c r="I21" s="81">
        <f t="shared" si="1"/>
        <v>498.58</v>
      </c>
    </row>
    <row r="22" spans="1:34" s="72" customFormat="1" ht="15" x14ac:dyDescent="0.2">
      <c r="A22" s="44"/>
      <c r="B22" s="68"/>
      <c r="C22" s="89"/>
      <c r="D22" s="96"/>
      <c r="E22" s="97"/>
      <c r="F22" s="98"/>
      <c r="G22" s="86" t="s">
        <v>1</v>
      </c>
      <c r="H22" s="99"/>
      <c r="I22" s="71">
        <f>SUM(I20:I21)</f>
        <v>997.16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34" s="72" customFormat="1" ht="15" customHeight="1" x14ac:dyDescent="0.2">
      <c r="A23" s="44"/>
      <c r="B23" s="270"/>
      <c r="C23" s="271"/>
      <c r="D23" s="271"/>
      <c r="E23" s="271"/>
      <c r="F23" s="271"/>
      <c r="G23" s="271"/>
      <c r="H23" s="271"/>
      <c r="I23" s="272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34" s="72" customFormat="1" ht="15" customHeight="1" x14ac:dyDescent="0.25">
      <c r="A24" s="44"/>
      <c r="B24" s="58">
        <v>4</v>
      </c>
      <c r="C24" s="59"/>
      <c r="D24" s="60" t="s">
        <v>186</v>
      </c>
      <c r="E24" s="61"/>
      <c r="F24" s="61"/>
      <c r="G24" s="62"/>
      <c r="H24" s="63"/>
      <c r="I24" s="6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 s="72" customFormat="1" ht="28.5" x14ac:dyDescent="0.2">
      <c r="A25" s="44"/>
      <c r="B25" s="65" t="s">
        <v>35</v>
      </c>
      <c r="C25" s="65">
        <v>97622</v>
      </c>
      <c r="D25" s="87" t="s">
        <v>188</v>
      </c>
      <c r="E25" s="65" t="s">
        <v>187</v>
      </c>
      <c r="F25" s="66">
        <f>2*5</f>
        <v>10</v>
      </c>
      <c r="G25" s="81">
        <v>39.479999999999997</v>
      </c>
      <c r="H25" s="67">
        <f>G25*1.2835</f>
        <v>50.672579999999996</v>
      </c>
      <c r="I25" s="81">
        <f t="shared" ref="I25" si="2">TRUNC(H25*F25,2)</f>
        <v>506.72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34" s="72" customFormat="1" ht="57" x14ac:dyDescent="0.2">
      <c r="A26" s="44"/>
      <c r="B26" s="65" t="s">
        <v>62</v>
      </c>
      <c r="C26" s="65">
        <v>87455</v>
      </c>
      <c r="D26" s="87" t="s">
        <v>191</v>
      </c>
      <c r="E26" s="65" t="s">
        <v>0</v>
      </c>
      <c r="F26" s="66">
        <f>25*2</f>
        <v>50</v>
      </c>
      <c r="G26" s="81">
        <v>76.010000000000005</v>
      </c>
      <c r="H26" s="67">
        <f t="shared" ref="H26:H35" si="3">G26*1.2835</f>
        <v>97.558835000000016</v>
      </c>
      <c r="I26" s="81">
        <f t="shared" ref="I26:I35" si="4">TRUNC(H26*F26,2)</f>
        <v>4877.9399999999996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 s="72" customFormat="1" ht="28.5" x14ac:dyDescent="0.2">
      <c r="A27" s="44"/>
      <c r="B27" s="65" t="s">
        <v>95</v>
      </c>
      <c r="C27" s="65">
        <v>93358</v>
      </c>
      <c r="D27" s="87" t="s">
        <v>192</v>
      </c>
      <c r="E27" s="65" t="s">
        <v>187</v>
      </c>
      <c r="F27" s="66">
        <f>(25/2.5)*(1.3*0.2*0.2)</f>
        <v>0.52</v>
      </c>
      <c r="G27" s="81">
        <v>59.97</v>
      </c>
      <c r="H27" s="67">
        <f t="shared" si="3"/>
        <v>76.971495000000004</v>
      </c>
      <c r="I27" s="81">
        <f t="shared" si="4"/>
        <v>40.020000000000003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 s="72" customFormat="1" ht="15" customHeight="1" x14ac:dyDescent="0.2">
      <c r="A28" s="44"/>
      <c r="B28" s="65" t="s">
        <v>72</v>
      </c>
      <c r="C28" s="65">
        <v>96995</v>
      </c>
      <c r="D28" s="87" t="s">
        <v>193</v>
      </c>
      <c r="E28" s="65" t="s">
        <v>187</v>
      </c>
      <c r="F28" s="66">
        <f>(25/2.5)*(0.5*0.2*0.2)</f>
        <v>0.20000000000000004</v>
      </c>
      <c r="G28" s="81">
        <v>36.36</v>
      </c>
      <c r="H28" s="67">
        <f t="shared" si="3"/>
        <v>46.668060000000004</v>
      </c>
      <c r="I28" s="81">
        <f t="shared" si="4"/>
        <v>9.33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4" s="72" customFormat="1" ht="42.75" x14ac:dyDescent="0.2">
      <c r="A29" s="44"/>
      <c r="B29" s="65" t="s">
        <v>73</v>
      </c>
      <c r="C29" s="65">
        <v>92419</v>
      </c>
      <c r="D29" s="87" t="s">
        <v>194</v>
      </c>
      <c r="E29" s="65" t="s">
        <v>0</v>
      </c>
      <c r="F29" s="66">
        <f>10*((0.2+0.2+0.2+0.2)*3)</f>
        <v>24.000000000000004</v>
      </c>
      <c r="G29" s="81">
        <v>69.180000000000007</v>
      </c>
      <c r="H29" s="67">
        <f t="shared" si="3"/>
        <v>88.792530000000014</v>
      </c>
      <c r="I29" s="81">
        <f t="shared" si="4"/>
        <v>2131.02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4" s="72" customFormat="1" ht="57" x14ac:dyDescent="0.2">
      <c r="A30" s="44"/>
      <c r="B30" s="65" t="s">
        <v>74</v>
      </c>
      <c r="C30" s="65">
        <v>92777</v>
      </c>
      <c r="D30" s="87" t="s">
        <v>196</v>
      </c>
      <c r="E30" s="65" t="s">
        <v>195</v>
      </c>
      <c r="F30" s="66">
        <f>10*(4*3*0.4)</f>
        <v>48.000000000000007</v>
      </c>
      <c r="G30" s="81">
        <v>18.16</v>
      </c>
      <c r="H30" s="67">
        <f t="shared" si="3"/>
        <v>23.30836</v>
      </c>
      <c r="I30" s="81">
        <f t="shared" si="4"/>
        <v>1118.8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s="72" customFormat="1" ht="42.75" x14ac:dyDescent="0.2">
      <c r="A31" s="44"/>
      <c r="B31" s="65" t="s">
        <v>93</v>
      </c>
      <c r="C31" s="65">
        <v>92775</v>
      </c>
      <c r="D31" s="87" t="s">
        <v>197</v>
      </c>
      <c r="E31" s="65" t="s">
        <v>195</v>
      </c>
      <c r="F31" s="66">
        <f>10*((3/0.5)*(0.15*4))</f>
        <v>36</v>
      </c>
      <c r="G31" s="81">
        <v>19.420000000000002</v>
      </c>
      <c r="H31" s="67">
        <f t="shared" si="3"/>
        <v>24.925570000000004</v>
      </c>
      <c r="I31" s="81">
        <f t="shared" si="4"/>
        <v>897.32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s="72" customFormat="1" ht="42.75" x14ac:dyDescent="0.2">
      <c r="A32" s="44"/>
      <c r="B32" s="65" t="s">
        <v>94</v>
      </c>
      <c r="C32" s="65">
        <v>92718</v>
      </c>
      <c r="D32" s="87" t="s">
        <v>198</v>
      </c>
      <c r="E32" s="65" t="s">
        <v>187</v>
      </c>
      <c r="F32" s="66">
        <f>10*(0.2*0.2)*3</f>
        <v>1.2000000000000002</v>
      </c>
      <c r="G32" s="81">
        <v>716.26</v>
      </c>
      <c r="H32" s="67">
        <f t="shared" si="3"/>
        <v>919.3197100000001</v>
      </c>
      <c r="I32" s="81">
        <f t="shared" si="4"/>
        <v>1103.18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1:34" s="72" customFormat="1" ht="57" x14ac:dyDescent="0.2">
      <c r="A33" s="44"/>
      <c r="B33" s="65" t="s">
        <v>189</v>
      </c>
      <c r="C33" s="65">
        <v>87905</v>
      </c>
      <c r="D33" s="87" t="s">
        <v>199</v>
      </c>
      <c r="E33" s="65" t="s">
        <v>0</v>
      </c>
      <c r="F33" s="66">
        <f>((25+24+24)*2.1)*2</f>
        <v>306.60000000000002</v>
      </c>
      <c r="G33" s="81">
        <v>6.64</v>
      </c>
      <c r="H33" s="67">
        <f t="shared" si="3"/>
        <v>8.5224399999999996</v>
      </c>
      <c r="I33" s="81">
        <f t="shared" si="4"/>
        <v>2612.98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1:34" s="72" customFormat="1" ht="42.75" x14ac:dyDescent="0.2">
      <c r="A34" s="44"/>
      <c r="B34" s="65" t="s">
        <v>190</v>
      </c>
      <c r="C34" s="65">
        <v>89173</v>
      </c>
      <c r="D34" s="87" t="s">
        <v>101</v>
      </c>
      <c r="E34" s="65" t="s">
        <v>0</v>
      </c>
      <c r="F34" s="66">
        <f>((25+24+24)*2.1)*2</f>
        <v>306.60000000000002</v>
      </c>
      <c r="G34" s="81">
        <v>27.56</v>
      </c>
      <c r="H34" s="67">
        <f t="shared" si="3"/>
        <v>35.373260000000002</v>
      </c>
      <c r="I34" s="81">
        <f t="shared" si="4"/>
        <v>10845.44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s="72" customFormat="1" ht="42.75" x14ac:dyDescent="0.2">
      <c r="A35" s="44"/>
      <c r="B35" s="65" t="s">
        <v>200</v>
      </c>
      <c r="C35" s="65" t="str">
        <f>Composições!A49</f>
        <v>Composição 19</v>
      </c>
      <c r="D35" s="87" t="s">
        <v>203</v>
      </c>
      <c r="E35" s="65" t="s">
        <v>21</v>
      </c>
      <c r="F35" s="66">
        <v>25</v>
      </c>
      <c r="G35" s="81">
        <f>Composições!F49</f>
        <v>1800.7487719999999</v>
      </c>
      <c r="H35" s="67">
        <f t="shared" si="3"/>
        <v>2311.2610488619998</v>
      </c>
      <c r="I35" s="81">
        <f t="shared" si="4"/>
        <v>57781.52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1:34" s="72" customFormat="1" ht="15" customHeight="1" x14ac:dyDescent="0.2">
      <c r="A36" s="44"/>
      <c r="B36" s="68"/>
      <c r="C36" s="89"/>
      <c r="D36" s="96"/>
      <c r="E36" s="97"/>
      <c r="F36" s="98"/>
      <c r="G36" s="86" t="s">
        <v>1</v>
      </c>
      <c r="H36" s="99"/>
      <c r="I36" s="71">
        <f>SUM(I25:I35)</f>
        <v>81924.26999999999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1:34" ht="15" x14ac:dyDescent="0.2">
      <c r="B37" s="226"/>
      <c r="C37" s="227"/>
      <c r="D37" s="227"/>
      <c r="E37" s="227"/>
      <c r="F37" s="227"/>
      <c r="G37" s="228"/>
      <c r="H37" s="229"/>
      <c r="I37" s="230"/>
    </row>
    <row r="38" spans="1:34" ht="15" x14ac:dyDescent="0.25">
      <c r="B38" s="59">
        <v>5</v>
      </c>
      <c r="C38" s="184"/>
      <c r="D38" s="61" t="s">
        <v>124</v>
      </c>
      <c r="E38" s="61"/>
      <c r="F38" s="61"/>
      <c r="G38" s="61"/>
      <c r="H38" s="61"/>
      <c r="I38" s="185"/>
    </row>
    <row r="39" spans="1:34" s="183" customFormat="1" x14ac:dyDescent="0.25">
      <c r="A39" s="57"/>
      <c r="B39" s="186" t="s">
        <v>90</v>
      </c>
      <c r="C39" s="186" t="s">
        <v>118</v>
      </c>
      <c r="D39" s="187" t="s">
        <v>106</v>
      </c>
      <c r="E39" s="188" t="s">
        <v>0</v>
      </c>
      <c r="F39" s="189">
        <f>(F40+F41+F42)*0.4</f>
        <v>147.66799999999998</v>
      </c>
      <c r="G39" s="190">
        <f>Composições!F32</f>
        <v>4.7460000000000004</v>
      </c>
      <c r="H39" s="67">
        <f t="shared" ref="H39:H49" si="5">G39*1.2835</f>
        <v>6.0914910000000013</v>
      </c>
      <c r="I39" s="81">
        <f t="shared" ref="I39" si="6">TRUNC(H39*F39,2)</f>
        <v>899.51</v>
      </c>
      <c r="J39" s="57"/>
    </row>
    <row r="40" spans="1:34" s="183" customFormat="1" x14ac:dyDescent="0.25">
      <c r="A40" s="57"/>
      <c r="B40" s="186" t="s">
        <v>91</v>
      </c>
      <c r="C40" s="186">
        <v>88485</v>
      </c>
      <c r="D40" s="187" t="s">
        <v>107</v>
      </c>
      <c r="E40" s="188" t="s">
        <v>0</v>
      </c>
      <c r="F40" s="189">
        <v>118.32</v>
      </c>
      <c r="G40" s="190">
        <v>1.64</v>
      </c>
      <c r="H40" s="67">
        <f t="shared" si="5"/>
        <v>2.10494</v>
      </c>
      <c r="I40" s="81">
        <f t="shared" ref="I40:I49" si="7">TRUNC(H40*F40,2)</f>
        <v>249.05</v>
      </c>
      <c r="J40" s="57"/>
    </row>
    <row r="41" spans="1:34" s="183" customFormat="1" x14ac:dyDescent="0.25">
      <c r="A41" s="57"/>
      <c r="B41" s="186" t="s">
        <v>92</v>
      </c>
      <c r="C41" s="65">
        <v>88496</v>
      </c>
      <c r="D41" s="191" t="s">
        <v>108</v>
      </c>
      <c r="E41" s="188" t="s">
        <v>0</v>
      </c>
      <c r="F41" s="192">
        <v>132.47</v>
      </c>
      <c r="G41" s="193">
        <v>21.29</v>
      </c>
      <c r="H41" s="67">
        <f t="shared" si="5"/>
        <v>27.325715000000002</v>
      </c>
      <c r="I41" s="81">
        <f t="shared" si="7"/>
        <v>3619.83</v>
      </c>
      <c r="J41" s="57"/>
    </row>
    <row r="42" spans="1:34" s="183" customFormat="1" ht="18.75" customHeight="1" x14ac:dyDescent="0.25">
      <c r="A42" s="57"/>
      <c r="B42" s="186" t="s">
        <v>211</v>
      </c>
      <c r="C42" s="65">
        <v>88497</v>
      </c>
      <c r="D42" s="191" t="s">
        <v>109</v>
      </c>
      <c r="E42" s="188" t="s">
        <v>0</v>
      </c>
      <c r="F42" s="192">
        <v>118.38</v>
      </c>
      <c r="G42" s="193">
        <v>12.1</v>
      </c>
      <c r="H42" s="67">
        <f t="shared" si="5"/>
        <v>15.53035</v>
      </c>
      <c r="I42" s="81">
        <f t="shared" si="7"/>
        <v>1838.48</v>
      </c>
      <c r="J42" s="57"/>
    </row>
    <row r="43" spans="1:34" s="183" customFormat="1" x14ac:dyDescent="0.25">
      <c r="A43" s="57"/>
      <c r="B43" s="186" t="s">
        <v>212</v>
      </c>
      <c r="C43" s="65">
        <v>95305</v>
      </c>
      <c r="D43" s="83" t="s">
        <v>111</v>
      </c>
      <c r="E43" s="188" t="s">
        <v>0</v>
      </c>
      <c r="F43" s="192">
        <v>413.96</v>
      </c>
      <c r="G43" s="194">
        <v>10.73</v>
      </c>
      <c r="H43" s="67">
        <f t="shared" si="5"/>
        <v>13.771955000000002</v>
      </c>
      <c r="I43" s="81">
        <f t="shared" si="7"/>
        <v>5701.03</v>
      </c>
      <c r="J43" s="57"/>
    </row>
    <row r="44" spans="1:34" s="183" customFormat="1" ht="28.5" x14ac:dyDescent="0.25">
      <c r="A44" s="57"/>
      <c r="B44" s="186" t="s">
        <v>213</v>
      </c>
      <c r="C44" s="65" t="s">
        <v>122</v>
      </c>
      <c r="D44" s="87" t="s">
        <v>131</v>
      </c>
      <c r="E44" s="65" t="s">
        <v>0</v>
      </c>
      <c r="F44" s="192">
        <v>118.38</v>
      </c>
      <c r="G44" s="193">
        <f>Composições!F35</f>
        <v>10.96582888888889</v>
      </c>
      <c r="H44" s="67">
        <f t="shared" si="5"/>
        <v>14.074641378888892</v>
      </c>
      <c r="I44" s="81">
        <f t="shared" si="7"/>
        <v>1666.15</v>
      </c>
      <c r="J44" s="57"/>
    </row>
    <row r="45" spans="1:34" s="183" customFormat="1" ht="28.5" x14ac:dyDescent="0.25">
      <c r="A45" s="57"/>
      <c r="B45" s="186" t="s">
        <v>214</v>
      </c>
      <c r="C45" s="65">
        <v>88486</v>
      </c>
      <c r="D45" s="191" t="s">
        <v>130</v>
      </c>
      <c r="E45" s="188" t="s">
        <v>0</v>
      </c>
      <c r="F45" s="192">
        <v>132.47</v>
      </c>
      <c r="G45" s="193">
        <v>13.42</v>
      </c>
      <c r="H45" s="67">
        <f t="shared" si="5"/>
        <v>17.22457</v>
      </c>
      <c r="I45" s="81">
        <f t="shared" si="7"/>
        <v>2281.73</v>
      </c>
      <c r="J45" s="57"/>
    </row>
    <row r="46" spans="1:34" s="183" customFormat="1" ht="28.5" x14ac:dyDescent="0.25">
      <c r="A46" s="57"/>
      <c r="B46" s="186" t="s">
        <v>215</v>
      </c>
      <c r="C46" s="65" t="s">
        <v>123</v>
      </c>
      <c r="D46" s="87" t="s">
        <v>125</v>
      </c>
      <c r="E46" s="188" t="s">
        <v>0</v>
      </c>
      <c r="F46" s="192">
        <v>243.53</v>
      </c>
      <c r="G46" s="193">
        <f>Composições!F39</f>
        <v>23.959704444444448</v>
      </c>
      <c r="H46" s="67">
        <f t="shared" si="5"/>
        <v>30.752280654444451</v>
      </c>
      <c r="I46" s="81">
        <f t="shared" si="7"/>
        <v>7489.1</v>
      </c>
      <c r="J46" s="57"/>
    </row>
    <row r="47" spans="1:34" s="183" customFormat="1" ht="28.5" x14ac:dyDescent="0.25">
      <c r="A47" s="57"/>
      <c r="B47" s="186" t="s">
        <v>216</v>
      </c>
      <c r="C47" s="65" t="s">
        <v>132</v>
      </c>
      <c r="D47" s="87" t="s">
        <v>128</v>
      </c>
      <c r="E47" s="195" t="str">
        <f>[1]Composição!C189</f>
        <v>M²</v>
      </c>
      <c r="F47" s="196">
        <v>257.39</v>
      </c>
      <c r="G47" s="197">
        <f>Composições!F44</f>
        <v>30.559704444444449</v>
      </c>
      <c r="H47" s="67">
        <f t="shared" si="5"/>
        <v>39.223380654444455</v>
      </c>
      <c r="I47" s="81">
        <f t="shared" si="7"/>
        <v>10095.700000000001</v>
      </c>
      <c r="J47" s="57"/>
    </row>
    <row r="48" spans="1:34" s="183" customFormat="1" ht="57" x14ac:dyDescent="0.25">
      <c r="A48" s="57"/>
      <c r="B48" s="186" t="s">
        <v>217</v>
      </c>
      <c r="C48" s="65">
        <v>100745</v>
      </c>
      <c r="D48" s="87" t="s">
        <v>208</v>
      </c>
      <c r="E48" s="195" t="s">
        <v>206</v>
      </c>
      <c r="F48" s="196">
        <v>66.2</v>
      </c>
      <c r="G48" s="197">
        <v>17.04</v>
      </c>
      <c r="H48" s="67">
        <f t="shared" si="5"/>
        <v>21.870840000000001</v>
      </c>
      <c r="I48" s="81">
        <f t="shared" si="7"/>
        <v>1447.84</v>
      </c>
      <c r="J48" s="57"/>
    </row>
    <row r="49" spans="1:10" s="183" customFormat="1" x14ac:dyDescent="0.25">
      <c r="A49" s="57"/>
      <c r="B49" s="186" t="s">
        <v>218</v>
      </c>
      <c r="C49" s="65">
        <v>102491</v>
      </c>
      <c r="D49" s="87" t="s">
        <v>207</v>
      </c>
      <c r="E49" s="195" t="s">
        <v>206</v>
      </c>
      <c r="F49" s="196">
        <v>160.27000000000001</v>
      </c>
      <c r="G49" s="197">
        <v>14.24</v>
      </c>
      <c r="H49" s="67">
        <f t="shared" si="5"/>
        <v>18.277040000000003</v>
      </c>
      <c r="I49" s="81">
        <f t="shared" si="7"/>
        <v>2929.26</v>
      </c>
      <c r="J49" s="57"/>
    </row>
    <row r="50" spans="1:10" ht="15" x14ac:dyDescent="0.2">
      <c r="B50" s="59"/>
      <c r="C50" s="198"/>
      <c r="D50" s="198"/>
      <c r="E50" s="198"/>
      <c r="F50" s="198"/>
      <c r="G50" s="70" t="s">
        <v>1</v>
      </c>
      <c r="H50" s="199"/>
      <c r="I50" s="71">
        <f>SUM(I39:I49)</f>
        <v>38217.68</v>
      </c>
    </row>
    <row r="51" spans="1:10" s="44" customFormat="1" ht="15" x14ac:dyDescent="0.2">
      <c r="B51" s="226"/>
      <c r="C51" s="227"/>
      <c r="D51" s="227"/>
      <c r="E51" s="227"/>
      <c r="F51" s="227"/>
      <c r="G51" s="227"/>
      <c r="H51" s="229"/>
      <c r="I51" s="218"/>
    </row>
    <row r="52" spans="1:10" s="182" customFormat="1" ht="15" x14ac:dyDescent="0.25">
      <c r="B52" s="58">
        <v>6</v>
      </c>
      <c r="C52" s="184"/>
      <c r="D52" s="61" t="s">
        <v>137</v>
      </c>
      <c r="E52" s="61"/>
      <c r="F52" s="61"/>
      <c r="G52" s="61"/>
      <c r="H52" s="61"/>
      <c r="I52" s="185"/>
    </row>
    <row r="53" spans="1:10" s="182" customFormat="1" ht="28.5" x14ac:dyDescent="0.2">
      <c r="B53" s="186" t="s">
        <v>36</v>
      </c>
      <c r="C53" s="200">
        <v>91926</v>
      </c>
      <c r="D53" s="87" t="s">
        <v>138</v>
      </c>
      <c r="E53" s="201" t="s">
        <v>6</v>
      </c>
      <c r="F53" s="202">
        <v>50</v>
      </c>
      <c r="G53" s="190">
        <v>3.8</v>
      </c>
      <c r="H53" s="67">
        <f t="shared" ref="H53:H60" si="8">G53*1.2835</f>
        <v>4.8773</v>
      </c>
      <c r="I53" s="81">
        <f t="shared" ref="I53" si="9">TRUNC(H53*F53,2)</f>
        <v>243.86</v>
      </c>
    </row>
    <row r="54" spans="1:10" s="182" customFormat="1" ht="28.5" x14ac:dyDescent="0.2">
      <c r="B54" s="186" t="s">
        <v>37</v>
      </c>
      <c r="C54" s="200">
        <v>91996</v>
      </c>
      <c r="D54" s="87" t="s">
        <v>139</v>
      </c>
      <c r="E54" s="201" t="s">
        <v>12</v>
      </c>
      <c r="F54" s="202">
        <v>1</v>
      </c>
      <c r="G54" s="190">
        <v>23.74</v>
      </c>
      <c r="H54" s="67">
        <f t="shared" si="8"/>
        <v>30.470289999999999</v>
      </c>
      <c r="I54" s="81">
        <f t="shared" ref="I54:I60" si="10">TRUNC(H54*F54,2)</f>
        <v>30.47</v>
      </c>
    </row>
    <row r="55" spans="1:10" s="182" customFormat="1" ht="28.5" x14ac:dyDescent="0.2">
      <c r="B55" s="186" t="s">
        <v>75</v>
      </c>
      <c r="C55" s="200">
        <v>92000</v>
      </c>
      <c r="D55" s="87" t="s">
        <v>140</v>
      </c>
      <c r="E55" s="201" t="s">
        <v>12</v>
      </c>
      <c r="F55" s="202">
        <v>1</v>
      </c>
      <c r="G55" s="190">
        <v>21.2</v>
      </c>
      <c r="H55" s="67">
        <f t="shared" si="8"/>
        <v>27.2102</v>
      </c>
      <c r="I55" s="81">
        <f t="shared" si="10"/>
        <v>27.21</v>
      </c>
    </row>
    <row r="56" spans="1:10" s="182" customFormat="1" ht="28.5" x14ac:dyDescent="0.2">
      <c r="B56" s="186" t="s">
        <v>38</v>
      </c>
      <c r="C56" s="201">
        <v>38769</v>
      </c>
      <c r="D56" s="87" t="s">
        <v>141</v>
      </c>
      <c r="E56" s="201" t="s">
        <v>12</v>
      </c>
      <c r="F56" s="202">
        <v>2</v>
      </c>
      <c r="G56" s="190">
        <v>75.06</v>
      </c>
      <c r="H56" s="67">
        <f t="shared" si="8"/>
        <v>96.339510000000004</v>
      </c>
      <c r="I56" s="81">
        <f t="shared" si="10"/>
        <v>192.67</v>
      </c>
    </row>
    <row r="57" spans="1:10" s="182" customFormat="1" x14ac:dyDescent="0.2">
      <c r="B57" s="186" t="s">
        <v>110</v>
      </c>
      <c r="C57" s="201">
        <v>39391</v>
      </c>
      <c r="D57" s="87" t="s">
        <v>142</v>
      </c>
      <c r="E57" s="201" t="s">
        <v>12</v>
      </c>
      <c r="F57" s="203">
        <v>2</v>
      </c>
      <c r="G57" s="190">
        <v>43.82</v>
      </c>
      <c r="H57" s="67">
        <f t="shared" si="8"/>
        <v>56.242970000000007</v>
      </c>
      <c r="I57" s="81">
        <f t="shared" si="10"/>
        <v>112.48</v>
      </c>
    </row>
    <row r="58" spans="1:10" s="182" customFormat="1" x14ac:dyDescent="0.2">
      <c r="B58" s="186" t="s">
        <v>112</v>
      </c>
      <c r="C58" s="201">
        <v>39385</v>
      </c>
      <c r="D58" s="87" t="s">
        <v>143</v>
      </c>
      <c r="E58" s="201" t="s">
        <v>12</v>
      </c>
      <c r="F58" s="203">
        <v>2</v>
      </c>
      <c r="G58" s="190">
        <v>17.16</v>
      </c>
      <c r="H58" s="67">
        <f t="shared" si="8"/>
        <v>22.02486</v>
      </c>
      <c r="I58" s="81">
        <f t="shared" si="10"/>
        <v>44.04</v>
      </c>
    </row>
    <row r="59" spans="1:10" s="182" customFormat="1" x14ac:dyDescent="0.2">
      <c r="B59" s="186" t="s">
        <v>114</v>
      </c>
      <c r="C59" s="201">
        <v>88247</v>
      </c>
      <c r="D59" s="87" t="s">
        <v>144</v>
      </c>
      <c r="E59" s="201" t="s">
        <v>20</v>
      </c>
      <c r="F59" s="203">
        <f>8*2</f>
        <v>16</v>
      </c>
      <c r="G59" s="190">
        <v>15.19</v>
      </c>
      <c r="H59" s="67">
        <f t="shared" si="8"/>
        <v>19.496365000000001</v>
      </c>
      <c r="I59" s="81">
        <f t="shared" si="10"/>
        <v>311.94</v>
      </c>
    </row>
    <row r="60" spans="1:10" s="182" customFormat="1" x14ac:dyDescent="0.2">
      <c r="B60" s="186" t="s">
        <v>115</v>
      </c>
      <c r="C60" s="201">
        <v>88264</v>
      </c>
      <c r="D60" s="87" t="s">
        <v>145</v>
      </c>
      <c r="E60" s="201" t="s">
        <v>20</v>
      </c>
      <c r="F60" s="203">
        <f>8*2</f>
        <v>16</v>
      </c>
      <c r="G60" s="190">
        <v>19.53</v>
      </c>
      <c r="H60" s="67">
        <f t="shared" si="8"/>
        <v>25.066755000000004</v>
      </c>
      <c r="I60" s="81">
        <f t="shared" si="10"/>
        <v>401.06</v>
      </c>
    </row>
    <row r="61" spans="1:10" s="182" customFormat="1" ht="15" x14ac:dyDescent="0.2">
      <c r="B61" s="59"/>
      <c r="C61" s="198"/>
      <c r="D61" s="198"/>
      <c r="E61" s="198"/>
      <c r="F61" s="198"/>
      <c r="G61" s="204" t="s">
        <v>1</v>
      </c>
      <c r="H61" s="199"/>
      <c r="I61" s="71">
        <f>SUM(I53:I60)</f>
        <v>1363.73</v>
      </c>
    </row>
    <row r="62" spans="1:10" s="44" customFormat="1" ht="15" x14ac:dyDescent="0.2">
      <c r="B62" s="226"/>
      <c r="C62" s="227"/>
      <c r="D62" s="227"/>
      <c r="E62" s="227"/>
      <c r="F62" s="227"/>
      <c r="G62" s="227"/>
      <c r="H62" s="229"/>
      <c r="I62" s="218"/>
    </row>
    <row r="63" spans="1:10" s="205" customFormat="1" ht="15" x14ac:dyDescent="0.25">
      <c r="A63" s="182"/>
      <c r="B63" s="58">
        <v>7</v>
      </c>
      <c r="C63" s="206"/>
      <c r="D63" s="207" t="s">
        <v>69</v>
      </c>
      <c r="E63" s="207"/>
      <c r="F63" s="207"/>
      <c r="G63" s="208"/>
      <c r="H63" s="207"/>
      <c r="I63" s="185"/>
      <c r="J63" s="182"/>
    </row>
    <row r="64" spans="1:10" x14ac:dyDescent="0.2">
      <c r="B64" s="65" t="s">
        <v>133</v>
      </c>
      <c r="C64" s="65" t="s">
        <v>39</v>
      </c>
      <c r="D64" s="87" t="s">
        <v>82</v>
      </c>
      <c r="E64" s="201" t="s">
        <v>12</v>
      </c>
      <c r="F64" s="66">
        <v>1</v>
      </c>
      <c r="G64" s="193">
        <f>Composições!F21</f>
        <v>33.239999999999995</v>
      </c>
      <c r="H64" s="67">
        <f t="shared" ref="H64:H67" si="11">G64*1.2835</f>
        <v>42.663539999999998</v>
      </c>
      <c r="I64" s="81">
        <f t="shared" ref="I64" si="12">TRUNC(H64*F64,2)</f>
        <v>42.66</v>
      </c>
    </row>
    <row r="65" spans="2:11" ht="28.5" x14ac:dyDescent="0.2">
      <c r="B65" s="65" t="s">
        <v>134</v>
      </c>
      <c r="C65" s="238" t="s">
        <v>205</v>
      </c>
      <c r="D65" s="87" t="s">
        <v>204</v>
      </c>
      <c r="E65" s="65" t="s">
        <v>6</v>
      </c>
      <c r="F65" s="66">
        <f>16.05+6.25+16.05+9.2+1.15+1.45</f>
        <v>50.15</v>
      </c>
      <c r="G65" s="81">
        <v>7.76</v>
      </c>
      <c r="H65" s="67">
        <f t="shared" si="11"/>
        <v>9.9599600000000006</v>
      </c>
      <c r="I65" s="81">
        <f t="shared" ref="I65:I67" si="13">TRUNC(H65*F65,2)</f>
        <v>499.49</v>
      </c>
    </row>
    <row r="66" spans="2:11" ht="28.5" x14ac:dyDescent="0.2">
      <c r="B66" s="65" t="s">
        <v>135</v>
      </c>
      <c r="C66" s="238" t="s">
        <v>210</v>
      </c>
      <c r="D66" s="87" t="s">
        <v>209</v>
      </c>
      <c r="E66" s="65" t="s">
        <v>6</v>
      </c>
      <c r="F66" s="66">
        <f>(((4.65+2.1)*2)+((1+2.1)*2)+((4.35+1.6)*2)+((2+1.1)*2)+((2+1.1)*2*2)+((1+0.5)*2)+((3.65+1.6)*2)+((1.5+0.5)*2*2))</f>
        <v>71.699999999999989</v>
      </c>
      <c r="G66" s="81">
        <v>3.74</v>
      </c>
      <c r="H66" s="67">
        <f t="shared" si="11"/>
        <v>4.8002900000000004</v>
      </c>
      <c r="I66" s="81">
        <f t="shared" si="13"/>
        <v>344.18</v>
      </c>
    </row>
    <row r="67" spans="2:11" s="44" customFormat="1" x14ac:dyDescent="0.2">
      <c r="B67" s="65" t="s">
        <v>136</v>
      </c>
      <c r="C67" s="65" t="s">
        <v>59</v>
      </c>
      <c r="D67" s="87" t="s">
        <v>64</v>
      </c>
      <c r="E67" s="65" t="s">
        <v>12</v>
      </c>
      <c r="F67" s="66">
        <v>1</v>
      </c>
      <c r="G67" s="193">
        <f>Composições!F24</f>
        <v>757.16180000000008</v>
      </c>
      <c r="H67" s="67">
        <f t="shared" si="11"/>
        <v>971.81717030000016</v>
      </c>
      <c r="I67" s="81">
        <f t="shared" si="13"/>
        <v>971.81</v>
      </c>
    </row>
    <row r="68" spans="2:11" ht="15" x14ac:dyDescent="0.2">
      <c r="B68" s="92"/>
      <c r="C68" s="91"/>
      <c r="D68" s="90"/>
      <c r="E68" s="91"/>
      <c r="F68" s="69"/>
      <c r="G68" s="70" t="s">
        <v>1</v>
      </c>
      <c r="H68" s="231"/>
      <c r="I68" s="71">
        <f>SUM(I64:I67)</f>
        <v>1858.1399999999999</v>
      </c>
    </row>
    <row r="69" spans="2:11" x14ac:dyDescent="0.2">
      <c r="B69" s="232"/>
      <c r="C69" s="205"/>
      <c r="D69" s="233"/>
      <c r="E69" s="205"/>
      <c r="F69" s="205"/>
      <c r="G69" s="234"/>
      <c r="H69" s="235"/>
      <c r="I69" s="235"/>
    </row>
    <row r="70" spans="2:11" ht="31.5" customHeight="1" x14ac:dyDescent="0.2">
      <c r="B70" s="92"/>
      <c r="C70" s="91"/>
      <c r="D70" s="90"/>
      <c r="E70" s="91"/>
      <c r="F70" s="69"/>
      <c r="G70" s="70" t="s">
        <v>76</v>
      </c>
      <c r="H70" s="231"/>
      <c r="I70" s="71">
        <f>SUM(I9:I68)/2</f>
        <v>130155.08000000002</v>
      </c>
      <c r="K70" s="48"/>
    </row>
    <row r="73" spans="2:11" x14ac:dyDescent="0.2">
      <c r="I73" s="78"/>
    </row>
    <row r="75" spans="2:11" x14ac:dyDescent="0.2">
      <c r="F75" s="79"/>
    </row>
  </sheetData>
  <mergeCells count="5">
    <mergeCell ref="B23:I23"/>
    <mergeCell ref="I2:I3"/>
    <mergeCell ref="J2:J3"/>
    <mergeCell ref="I4:I5"/>
    <mergeCell ref="B2:H5"/>
  </mergeCells>
  <printOptions horizontalCentered="1" verticalCentered="1"/>
  <pageMargins left="0.25" right="0.25" top="0.75" bottom="0.75" header="0.3" footer="0.3"/>
  <pageSetup paperSize="9" scale="73" fitToHeight="0" orientation="landscape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115" zoomScaleNormal="115" workbookViewId="0">
      <selection activeCell="B58" sqref="B58"/>
    </sheetView>
  </sheetViews>
  <sheetFormatPr defaultRowHeight="15.75" x14ac:dyDescent="0.25"/>
  <cols>
    <col min="1" max="1" width="29.7109375" style="178" customWidth="1"/>
    <col min="2" max="2" width="92.5703125" style="112" customWidth="1"/>
    <col min="3" max="3" width="8.5703125" style="32" bestFit="1" customWidth="1"/>
    <col min="4" max="4" width="19.5703125" style="112" customWidth="1"/>
    <col min="5" max="5" width="14" style="112" customWidth="1"/>
    <col min="6" max="6" width="14.140625" style="112" customWidth="1"/>
    <col min="7" max="16384" width="9.140625" style="112"/>
  </cols>
  <sheetData>
    <row r="1" spans="1:11" s="109" customFormat="1" ht="38.25" customHeight="1" x14ac:dyDescent="0.25">
      <c r="A1" s="9" t="s">
        <v>8</v>
      </c>
      <c r="B1" s="117" t="s">
        <v>15</v>
      </c>
      <c r="C1" s="33" t="s">
        <v>16</v>
      </c>
      <c r="D1" s="34" t="s">
        <v>17</v>
      </c>
      <c r="E1" s="35" t="s">
        <v>18</v>
      </c>
      <c r="F1" s="35" t="s">
        <v>19</v>
      </c>
      <c r="G1" s="108"/>
      <c r="H1" s="108"/>
      <c r="I1" s="108"/>
      <c r="J1" s="108"/>
      <c r="K1" s="108"/>
    </row>
    <row r="2" spans="1:11" s="108" customFormat="1" x14ac:dyDescent="0.25">
      <c r="A2" s="113" t="s">
        <v>10</v>
      </c>
      <c r="B2" s="114" t="s">
        <v>50</v>
      </c>
      <c r="C2" s="113" t="s">
        <v>12</v>
      </c>
      <c r="D2" s="115"/>
      <c r="E2" s="116"/>
      <c r="F2" s="116">
        <f>SUM(F3:F5)</f>
        <v>477.54999999999995</v>
      </c>
    </row>
    <row r="3" spans="1:11" s="31" customFormat="1" ht="31.5" x14ac:dyDescent="0.25">
      <c r="A3" s="36" t="s">
        <v>78</v>
      </c>
      <c r="B3" s="13" t="s">
        <v>51</v>
      </c>
      <c r="C3" s="37" t="s">
        <v>12</v>
      </c>
      <c r="D3" s="3">
        <v>1</v>
      </c>
      <c r="E3" s="38">
        <v>167.35</v>
      </c>
      <c r="F3" s="38">
        <f>D3*E3</f>
        <v>167.35</v>
      </c>
    </row>
    <row r="4" spans="1:11" s="31" customFormat="1" x14ac:dyDescent="0.25">
      <c r="A4" s="2" t="s">
        <v>52</v>
      </c>
      <c r="B4" s="13" t="s">
        <v>79</v>
      </c>
      <c r="C4" s="2" t="s">
        <v>12</v>
      </c>
      <c r="D4" s="3">
        <v>1</v>
      </c>
      <c r="E4" s="38">
        <v>233.94</v>
      </c>
      <c r="F4" s="38">
        <f>D4*E4</f>
        <v>233.94</v>
      </c>
    </row>
    <row r="5" spans="1:11" s="31" customFormat="1" x14ac:dyDescent="0.25">
      <c r="A5" s="1">
        <v>90772</v>
      </c>
      <c r="B5" s="10" t="s">
        <v>53</v>
      </c>
      <c r="C5" s="2" t="s">
        <v>20</v>
      </c>
      <c r="D5" s="39">
        <v>6</v>
      </c>
      <c r="E5" s="38">
        <v>12.71</v>
      </c>
      <c r="F5" s="38">
        <f>D5*E5</f>
        <v>76.260000000000005</v>
      </c>
    </row>
    <row r="6" spans="1:11" s="108" customFormat="1" ht="31.5" x14ac:dyDescent="0.25">
      <c r="A6" s="113" t="s">
        <v>11</v>
      </c>
      <c r="B6" s="114" t="s">
        <v>49</v>
      </c>
      <c r="C6" s="113" t="s">
        <v>0</v>
      </c>
      <c r="D6" s="113"/>
      <c r="E6" s="118"/>
      <c r="F6" s="118">
        <f>SUM(F7:F12)</f>
        <v>299.96400000000006</v>
      </c>
    </row>
    <row r="7" spans="1:11" s="31" customFormat="1" ht="31.5" x14ac:dyDescent="0.25">
      <c r="A7" s="1">
        <v>4417</v>
      </c>
      <c r="B7" s="14" t="s">
        <v>54</v>
      </c>
      <c r="C7" s="2" t="s">
        <v>6</v>
      </c>
      <c r="D7" s="15">
        <v>1</v>
      </c>
      <c r="E7" s="40">
        <v>4.84</v>
      </c>
      <c r="F7" s="41">
        <f t="shared" ref="F7:F12" si="0">D7*E7</f>
        <v>4.84</v>
      </c>
    </row>
    <row r="8" spans="1:11" s="31" customFormat="1" ht="31.5" x14ac:dyDescent="0.25">
      <c r="A8" s="1">
        <v>4491</v>
      </c>
      <c r="B8" s="14" t="s">
        <v>55</v>
      </c>
      <c r="C8" s="2" t="s">
        <v>6</v>
      </c>
      <c r="D8" s="15">
        <v>4</v>
      </c>
      <c r="E8" s="40">
        <v>8.44</v>
      </c>
      <c r="F8" s="41">
        <f t="shared" si="0"/>
        <v>33.76</v>
      </c>
    </row>
    <row r="9" spans="1:11" s="31" customFormat="1" ht="31.5" x14ac:dyDescent="0.25">
      <c r="A9" s="1">
        <v>4813</v>
      </c>
      <c r="B9" s="14" t="s">
        <v>56</v>
      </c>
      <c r="C9" s="2" t="s">
        <v>26</v>
      </c>
      <c r="D9" s="15">
        <v>1</v>
      </c>
      <c r="E9" s="40">
        <v>225</v>
      </c>
      <c r="F9" s="41">
        <f t="shared" si="0"/>
        <v>225</v>
      </c>
    </row>
    <row r="10" spans="1:11" s="31" customFormat="1" x14ac:dyDescent="0.25">
      <c r="A10" s="1">
        <v>5075</v>
      </c>
      <c r="B10" s="14" t="s">
        <v>57</v>
      </c>
      <c r="C10" s="2" t="s">
        <v>7</v>
      </c>
      <c r="D10" s="15">
        <v>0.11</v>
      </c>
      <c r="E10" s="40">
        <v>23.4</v>
      </c>
      <c r="F10" s="41">
        <f t="shared" si="0"/>
        <v>2.5739999999999998</v>
      </c>
    </row>
    <row r="11" spans="1:11" s="31" customFormat="1" x14ac:dyDescent="0.25">
      <c r="A11" s="1">
        <v>88262</v>
      </c>
      <c r="B11" s="14" t="s">
        <v>58</v>
      </c>
      <c r="C11" s="2" t="s">
        <v>20</v>
      </c>
      <c r="D11" s="15">
        <v>1</v>
      </c>
      <c r="E11" s="40">
        <v>18.63</v>
      </c>
      <c r="F11" s="41">
        <f t="shared" si="0"/>
        <v>18.63</v>
      </c>
    </row>
    <row r="12" spans="1:11" s="31" customFormat="1" x14ac:dyDescent="0.25">
      <c r="A12" s="1">
        <v>88316</v>
      </c>
      <c r="B12" s="14" t="s">
        <v>23</v>
      </c>
      <c r="C12" s="2" t="s">
        <v>20</v>
      </c>
      <c r="D12" s="15">
        <v>1</v>
      </c>
      <c r="E12" s="40">
        <v>15.16</v>
      </c>
      <c r="F12" s="41">
        <f t="shared" si="0"/>
        <v>15.16</v>
      </c>
    </row>
    <row r="13" spans="1:11" s="110" customFormat="1" ht="30.75" customHeight="1" x14ac:dyDescent="0.25">
      <c r="A13" s="119" t="s">
        <v>61</v>
      </c>
      <c r="B13" s="120" t="s">
        <v>41</v>
      </c>
      <c r="C13" s="119" t="s">
        <v>12</v>
      </c>
      <c r="D13" s="121"/>
      <c r="E13" s="122"/>
      <c r="F13" s="122">
        <f>SUM(F14:F16)</f>
        <v>388.46</v>
      </c>
    </row>
    <row r="14" spans="1:11" s="111" customFormat="1" x14ac:dyDescent="0.25">
      <c r="A14" s="5">
        <v>88316</v>
      </c>
      <c r="B14" s="6" t="s">
        <v>23</v>
      </c>
      <c r="C14" s="5" t="s">
        <v>20</v>
      </c>
      <c r="D14" s="7">
        <v>8</v>
      </c>
      <c r="E14" s="42">
        <v>15.16</v>
      </c>
      <c r="F14" s="42">
        <f>D14*E14</f>
        <v>121.28</v>
      </c>
    </row>
    <row r="15" spans="1:11" s="111" customFormat="1" ht="47.25" x14ac:dyDescent="0.25">
      <c r="A15" s="11">
        <v>73467</v>
      </c>
      <c r="B15" s="6" t="s">
        <v>42</v>
      </c>
      <c r="C15" s="5" t="s">
        <v>9</v>
      </c>
      <c r="D15" s="7">
        <v>1</v>
      </c>
      <c r="E15" s="42">
        <v>138.5</v>
      </c>
      <c r="F15" s="42">
        <f>D15*E15</f>
        <v>138.5</v>
      </c>
    </row>
    <row r="16" spans="1:11" s="111" customFormat="1" ht="38.1" customHeight="1" x14ac:dyDescent="0.25">
      <c r="A16" s="11">
        <v>5892</v>
      </c>
      <c r="B16" s="6" t="s">
        <v>43</v>
      </c>
      <c r="C16" s="5" t="s">
        <v>25</v>
      </c>
      <c r="D16" s="7">
        <v>4</v>
      </c>
      <c r="E16" s="42">
        <v>32.17</v>
      </c>
      <c r="F16" s="42">
        <f>D16*E16</f>
        <v>128.68</v>
      </c>
    </row>
    <row r="17" spans="1:11" s="110" customFormat="1" ht="27" customHeight="1" x14ac:dyDescent="0.25">
      <c r="A17" s="119" t="s">
        <v>13</v>
      </c>
      <c r="B17" s="120" t="s">
        <v>44</v>
      </c>
      <c r="C17" s="119" t="s">
        <v>12</v>
      </c>
      <c r="D17" s="121"/>
      <c r="E17" s="122"/>
      <c r="F17" s="122">
        <f>SUM(F18:F20)</f>
        <v>388.46</v>
      </c>
    </row>
    <row r="18" spans="1:11" s="111" customFormat="1" x14ac:dyDescent="0.25">
      <c r="A18" s="12">
        <v>88316</v>
      </c>
      <c r="B18" s="6" t="s">
        <v>23</v>
      </c>
      <c r="C18" s="5" t="s">
        <v>20</v>
      </c>
      <c r="D18" s="7">
        <v>8</v>
      </c>
      <c r="E18" s="42">
        <v>15.16</v>
      </c>
      <c r="F18" s="42">
        <f>D18*E18</f>
        <v>121.28</v>
      </c>
    </row>
    <row r="19" spans="1:11" s="111" customFormat="1" ht="47.25" x14ac:dyDescent="0.25">
      <c r="A19" s="11">
        <v>73467</v>
      </c>
      <c r="B19" s="6" t="s">
        <v>42</v>
      </c>
      <c r="C19" s="5" t="s">
        <v>9</v>
      </c>
      <c r="D19" s="7">
        <v>1</v>
      </c>
      <c r="E19" s="42">
        <v>138.5</v>
      </c>
      <c r="F19" s="42">
        <f>D19*E19</f>
        <v>138.5</v>
      </c>
    </row>
    <row r="20" spans="1:11" s="111" customFormat="1" ht="31.5" x14ac:dyDescent="0.25">
      <c r="A20" s="11">
        <v>5892</v>
      </c>
      <c r="B20" s="6" t="s">
        <v>43</v>
      </c>
      <c r="C20" s="5" t="s">
        <v>25</v>
      </c>
      <c r="D20" s="7">
        <v>4</v>
      </c>
      <c r="E20" s="42">
        <v>32.17</v>
      </c>
      <c r="F20" s="42">
        <f>D20*E20</f>
        <v>128.68</v>
      </c>
    </row>
    <row r="21" spans="1:11" s="109" customFormat="1" ht="31.5" customHeight="1" x14ac:dyDescent="0.25">
      <c r="A21" s="113" t="s">
        <v>39</v>
      </c>
      <c r="B21" s="125" t="s">
        <v>82</v>
      </c>
      <c r="C21" s="113" t="s">
        <v>21</v>
      </c>
      <c r="D21" s="115"/>
      <c r="E21" s="116"/>
      <c r="F21" s="116">
        <f>SUM(F22:F23)</f>
        <v>33.239999999999995</v>
      </c>
      <c r="G21" s="108"/>
      <c r="H21" s="108"/>
      <c r="I21" s="108"/>
      <c r="J21" s="108"/>
      <c r="K21" s="108"/>
    </row>
    <row r="22" spans="1:11" s="108" customFormat="1" x14ac:dyDescent="0.25">
      <c r="A22" s="1">
        <v>88248</v>
      </c>
      <c r="B22" s="10" t="s">
        <v>83</v>
      </c>
      <c r="C22" s="2" t="s">
        <v>20</v>
      </c>
      <c r="D22" s="3">
        <v>1</v>
      </c>
      <c r="E22" s="4">
        <v>14.52</v>
      </c>
      <c r="F22" s="4">
        <f t="shared" ref="F22:F23" si="1">D22*E22</f>
        <v>14.52</v>
      </c>
    </row>
    <row r="23" spans="1:11" s="108" customFormat="1" x14ac:dyDescent="0.25">
      <c r="A23" s="28">
        <v>88267</v>
      </c>
      <c r="B23" s="29" t="s">
        <v>84</v>
      </c>
      <c r="C23" s="27" t="s">
        <v>20</v>
      </c>
      <c r="D23" s="3">
        <v>1</v>
      </c>
      <c r="E23" s="38">
        <v>18.72</v>
      </c>
      <c r="F23" s="4">
        <f t="shared" si="1"/>
        <v>18.72</v>
      </c>
    </row>
    <row r="24" spans="1:11" s="236" customFormat="1" ht="27" customHeight="1" x14ac:dyDescent="0.25">
      <c r="A24" s="113" t="s">
        <v>59</v>
      </c>
      <c r="B24" s="114" t="s">
        <v>64</v>
      </c>
      <c r="C24" s="113" t="s">
        <v>0</v>
      </c>
      <c r="D24" s="115"/>
      <c r="E24" s="116"/>
      <c r="F24" s="116">
        <f>SUM(F25:F28)</f>
        <v>757.16180000000008</v>
      </c>
    </row>
    <row r="25" spans="1:11" s="237" customFormat="1" x14ac:dyDescent="0.25">
      <c r="A25" s="1">
        <v>99803</v>
      </c>
      <c r="B25" s="13" t="s">
        <v>65</v>
      </c>
      <c r="C25" s="2" t="s">
        <v>26</v>
      </c>
      <c r="D25" s="3">
        <v>134.9</v>
      </c>
      <c r="E25" s="4">
        <v>1.47</v>
      </c>
      <c r="F25" s="4">
        <f>E25*D25</f>
        <v>198.303</v>
      </c>
    </row>
    <row r="26" spans="1:11" s="237" customFormat="1" x14ac:dyDescent="0.25">
      <c r="A26" s="1">
        <v>99806</v>
      </c>
      <c r="B26" s="13" t="s">
        <v>66</v>
      </c>
      <c r="C26" s="2" t="s">
        <v>26</v>
      </c>
      <c r="D26" s="3">
        <v>177.08</v>
      </c>
      <c r="E26" s="4">
        <v>0.6</v>
      </c>
      <c r="F26" s="4">
        <f>E26*D26</f>
        <v>106.248</v>
      </c>
    </row>
    <row r="27" spans="1:11" s="237" customFormat="1" x14ac:dyDescent="0.25">
      <c r="A27" s="1">
        <v>99814</v>
      </c>
      <c r="B27" s="13" t="s">
        <v>67</v>
      </c>
      <c r="C27" s="2" t="s">
        <v>26</v>
      </c>
      <c r="D27" s="3">
        <f>134.9+20.3+177.08</f>
        <v>332.28000000000003</v>
      </c>
      <c r="E27" s="4">
        <v>1.36</v>
      </c>
      <c r="F27" s="4">
        <f>E27*D27</f>
        <v>451.90080000000006</v>
      </c>
    </row>
    <row r="28" spans="1:11" s="237" customFormat="1" x14ac:dyDescent="0.25">
      <c r="A28" s="1">
        <v>99822</v>
      </c>
      <c r="B28" s="13" t="s">
        <v>68</v>
      </c>
      <c r="C28" s="2" t="s">
        <v>26</v>
      </c>
      <c r="D28" s="3">
        <v>1</v>
      </c>
      <c r="E28" s="4">
        <v>0.71</v>
      </c>
      <c r="F28" s="4">
        <f>E28*D28</f>
        <v>0.71</v>
      </c>
    </row>
    <row r="29" spans="1:11" s="126" customFormat="1" ht="31.5" customHeight="1" x14ac:dyDescent="0.25">
      <c r="A29" s="119" t="s">
        <v>102</v>
      </c>
      <c r="B29" s="120" t="s">
        <v>103</v>
      </c>
      <c r="C29" s="123" t="s">
        <v>0</v>
      </c>
      <c r="D29" s="121"/>
      <c r="E29" s="124"/>
      <c r="F29" s="116">
        <f>SUM(F30:F31)</f>
        <v>2.1558000000000002</v>
      </c>
    </row>
    <row r="30" spans="1:11" s="126" customFormat="1" x14ac:dyDescent="0.25">
      <c r="A30" s="26">
        <v>88309</v>
      </c>
      <c r="B30" s="14" t="s">
        <v>63</v>
      </c>
      <c r="C30" s="2" t="s">
        <v>20</v>
      </c>
      <c r="D30" s="7">
        <v>0.05</v>
      </c>
      <c r="E30" s="8">
        <v>18.86</v>
      </c>
      <c r="F30" s="43">
        <f>E30*D30</f>
        <v>0.94300000000000006</v>
      </c>
    </row>
    <row r="31" spans="1:11" s="126" customFormat="1" x14ac:dyDescent="0.25">
      <c r="A31" s="26" t="s">
        <v>70</v>
      </c>
      <c r="B31" s="14" t="s">
        <v>23</v>
      </c>
      <c r="C31" s="2" t="s">
        <v>20</v>
      </c>
      <c r="D31" s="7">
        <v>0.08</v>
      </c>
      <c r="E31" s="8">
        <v>15.16</v>
      </c>
      <c r="F31" s="43">
        <f>E31*D31</f>
        <v>1.2128000000000001</v>
      </c>
    </row>
    <row r="32" spans="1:11" s="126" customFormat="1" ht="29.25" customHeight="1" x14ac:dyDescent="0.25">
      <c r="A32" s="113" t="s">
        <v>118</v>
      </c>
      <c r="B32" s="125" t="s">
        <v>116</v>
      </c>
      <c r="C32" s="113"/>
      <c r="D32" s="115"/>
      <c r="E32" s="116"/>
      <c r="F32" s="116">
        <f>SUM(F33:F34)</f>
        <v>4.7460000000000004</v>
      </c>
    </row>
    <row r="33" spans="1:6" s="126" customFormat="1" x14ac:dyDescent="0.25">
      <c r="A33" s="1">
        <v>88310</v>
      </c>
      <c r="B33" s="102" t="s">
        <v>117</v>
      </c>
      <c r="C33" s="2" t="s">
        <v>20</v>
      </c>
      <c r="D33" s="3">
        <v>0.2</v>
      </c>
      <c r="E33" s="4">
        <v>19.940000000000001</v>
      </c>
      <c r="F33" s="4">
        <f t="shared" ref="F33:F34" si="2">D33*E33</f>
        <v>3.9880000000000004</v>
      </c>
    </row>
    <row r="34" spans="1:6" s="126" customFormat="1" x14ac:dyDescent="0.25">
      <c r="A34" s="1">
        <v>88316</v>
      </c>
      <c r="B34" s="102" t="s">
        <v>23</v>
      </c>
      <c r="C34" s="2" t="s">
        <v>20</v>
      </c>
      <c r="D34" s="3">
        <v>0.05</v>
      </c>
      <c r="E34" s="38">
        <v>15.16</v>
      </c>
      <c r="F34" s="4">
        <f t="shared" si="2"/>
        <v>0.75800000000000001</v>
      </c>
    </row>
    <row r="35" spans="1:6" s="126" customFormat="1" ht="30" x14ac:dyDescent="0.25">
      <c r="A35" s="127" t="s">
        <v>122</v>
      </c>
      <c r="B35" s="128" t="s">
        <v>113</v>
      </c>
      <c r="C35" s="129" t="s">
        <v>0</v>
      </c>
      <c r="D35" s="130"/>
      <c r="E35" s="131"/>
      <c r="F35" s="132">
        <f>SUM(F36:F38)</f>
        <v>10.96582888888889</v>
      </c>
    </row>
    <row r="36" spans="1:6" s="126" customFormat="1" ht="15" x14ac:dyDescent="0.25">
      <c r="A36" s="103" t="s">
        <v>119</v>
      </c>
      <c r="B36" s="104" t="s">
        <v>120</v>
      </c>
      <c r="C36" s="103" t="s">
        <v>121</v>
      </c>
      <c r="D36" s="105">
        <v>0.2</v>
      </c>
      <c r="E36" s="106">
        <f>557.99/18</f>
        <v>30.999444444444446</v>
      </c>
      <c r="F36" s="106">
        <f>D36*E36</f>
        <v>6.1998888888888892</v>
      </c>
    </row>
    <row r="37" spans="1:6" s="126" customFormat="1" ht="15" x14ac:dyDescent="0.25">
      <c r="A37" s="107">
        <v>88310</v>
      </c>
      <c r="B37" s="104" t="s">
        <v>117</v>
      </c>
      <c r="C37" s="103" t="s">
        <v>20</v>
      </c>
      <c r="D37" s="105">
        <v>0.20100000000000001</v>
      </c>
      <c r="E37" s="106">
        <v>19.940000000000001</v>
      </c>
      <c r="F37" s="106">
        <f t="shared" ref="F37:F38" si="3">D37*E37</f>
        <v>4.0079400000000005</v>
      </c>
    </row>
    <row r="38" spans="1:6" s="126" customFormat="1" ht="15" x14ac:dyDescent="0.25">
      <c r="A38" s="107">
        <v>88316</v>
      </c>
      <c r="B38" s="104" t="s">
        <v>23</v>
      </c>
      <c r="C38" s="103" t="s">
        <v>20</v>
      </c>
      <c r="D38" s="105">
        <v>0.05</v>
      </c>
      <c r="E38" s="106">
        <v>15.16</v>
      </c>
      <c r="F38" s="106">
        <f t="shared" si="3"/>
        <v>0.75800000000000001</v>
      </c>
    </row>
    <row r="39" spans="1:6" s="126" customFormat="1" ht="30" x14ac:dyDescent="0.25">
      <c r="A39" s="127" t="s">
        <v>123</v>
      </c>
      <c r="B39" s="128" t="s">
        <v>128</v>
      </c>
      <c r="C39" s="127" t="s">
        <v>0</v>
      </c>
      <c r="D39" s="133"/>
      <c r="E39" s="132"/>
      <c r="F39" s="132">
        <f>SUM(F40:F43)</f>
        <v>23.959704444444448</v>
      </c>
    </row>
    <row r="40" spans="1:6" s="126" customFormat="1" ht="15" x14ac:dyDescent="0.25">
      <c r="A40" s="107">
        <v>88310</v>
      </c>
      <c r="B40" s="104" t="s">
        <v>117</v>
      </c>
      <c r="C40" s="103" t="s">
        <v>20</v>
      </c>
      <c r="D40" s="105">
        <v>0.2</v>
      </c>
      <c r="E40" s="106">
        <v>19.940000000000001</v>
      </c>
      <c r="F40" s="106">
        <f>D40*E40</f>
        <v>3.9880000000000004</v>
      </c>
    </row>
    <row r="41" spans="1:6" s="126" customFormat="1" ht="15" x14ac:dyDescent="0.25">
      <c r="A41" s="107">
        <v>88316</v>
      </c>
      <c r="B41" s="104" t="s">
        <v>23</v>
      </c>
      <c r="C41" s="103" t="s">
        <v>20</v>
      </c>
      <c r="D41" s="105">
        <v>7.5999999999999998E-2</v>
      </c>
      <c r="E41" s="106">
        <v>15.16</v>
      </c>
      <c r="F41" s="106">
        <f t="shared" ref="F41:F43" si="4">D41*E41</f>
        <v>1.1521600000000001</v>
      </c>
    </row>
    <row r="42" spans="1:6" s="126" customFormat="1" ht="15" x14ac:dyDescent="0.25">
      <c r="A42" s="103">
        <v>34546</v>
      </c>
      <c r="B42" s="134" t="s">
        <v>126</v>
      </c>
      <c r="C42" s="103" t="s">
        <v>129</v>
      </c>
      <c r="D42" s="105">
        <v>1.93</v>
      </c>
      <c r="E42" s="106">
        <v>5.37</v>
      </c>
      <c r="F42" s="106">
        <f t="shared" si="4"/>
        <v>10.364100000000001</v>
      </c>
    </row>
    <row r="43" spans="1:6" s="126" customFormat="1" ht="15" x14ac:dyDescent="0.25">
      <c r="A43" s="103" t="s">
        <v>119</v>
      </c>
      <c r="B43" s="104" t="s">
        <v>127</v>
      </c>
      <c r="C43" s="103" t="s">
        <v>121</v>
      </c>
      <c r="D43" s="105">
        <v>0.2</v>
      </c>
      <c r="E43" s="106">
        <f>760.99/18</f>
        <v>42.277222222222221</v>
      </c>
      <c r="F43" s="106">
        <f t="shared" si="4"/>
        <v>8.4554444444444439</v>
      </c>
    </row>
    <row r="44" spans="1:6" s="126" customFormat="1" ht="30" x14ac:dyDescent="0.25">
      <c r="A44" s="127" t="s">
        <v>132</v>
      </c>
      <c r="B44" s="128" t="s">
        <v>125</v>
      </c>
      <c r="C44" s="127" t="s">
        <v>0</v>
      </c>
      <c r="D44" s="133"/>
      <c r="E44" s="132"/>
      <c r="F44" s="132">
        <f>SUM(F45:F48)</f>
        <v>30.559704444444449</v>
      </c>
    </row>
    <row r="45" spans="1:6" s="126" customFormat="1" ht="15" x14ac:dyDescent="0.25">
      <c r="A45" s="107">
        <v>88310</v>
      </c>
      <c r="B45" s="104" t="s">
        <v>117</v>
      </c>
      <c r="C45" s="103" t="s">
        <v>20</v>
      </c>
      <c r="D45" s="105">
        <v>0.2</v>
      </c>
      <c r="E45" s="106">
        <v>19.940000000000001</v>
      </c>
      <c r="F45" s="106">
        <f>D45*E45</f>
        <v>3.9880000000000004</v>
      </c>
    </row>
    <row r="46" spans="1:6" s="126" customFormat="1" ht="15" x14ac:dyDescent="0.25">
      <c r="A46" s="107">
        <v>88316</v>
      </c>
      <c r="B46" s="104" t="s">
        <v>23</v>
      </c>
      <c r="C46" s="103" t="s">
        <v>20</v>
      </c>
      <c r="D46" s="105">
        <v>7.5999999999999998E-2</v>
      </c>
      <c r="E46" s="106">
        <v>15.16</v>
      </c>
      <c r="F46" s="106">
        <f t="shared" ref="F46:F48" si="5">D46*E46</f>
        <v>1.1521600000000001</v>
      </c>
    </row>
    <row r="47" spans="1:6" s="126" customFormat="1" ht="15" x14ac:dyDescent="0.25">
      <c r="A47" s="103">
        <v>34546</v>
      </c>
      <c r="B47" s="134" t="s">
        <v>126</v>
      </c>
      <c r="C47" s="103" t="s">
        <v>7</v>
      </c>
      <c r="D47" s="105">
        <v>1.93</v>
      </c>
      <c r="E47" s="106">
        <v>5.37</v>
      </c>
      <c r="F47" s="106">
        <f t="shared" si="5"/>
        <v>10.364100000000001</v>
      </c>
    </row>
    <row r="48" spans="1:6" s="126" customFormat="1" ht="15" x14ac:dyDescent="0.25">
      <c r="A48" s="103" t="s">
        <v>119</v>
      </c>
      <c r="B48" s="104" t="s">
        <v>127</v>
      </c>
      <c r="C48" s="103" t="s">
        <v>121</v>
      </c>
      <c r="D48" s="105">
        <v>0.2</v>
      </c>
      <c r="E48" s="106">
        <f>1354.99/18</f>
        <v>75.277222222222221</v>
      </c>
      <c r="F48" s="106">
        <f t="shared" si="5"/>
        <v>15.055444444444445</v>
      </c>
    </row>
    <row r="49" spans="1:6" s="126" customFormat="1" ht="30" x14ac:dyDescent="0.25">
      <c r="A49" s="127" t="s">
        <v>201</v>
      </c>
      <c r="B49" s="128" t="s">
        <v>203</v>
      </c>
      <c r="C49" s="127" t="s">
        <v>0</v>
      </c>
      <c r="D49" s="133"/>
      <c r="E49" s="132"/>
      <c r="F49" s="132">
        <f>SUM(F50:F52)</f>
        <v>1800.7487719999999</v>
      </c>
    </row>
    <row r="50" spans="1:6" s="179" customFormat="1" ht="30" x14ac:dyDescent="0.25">
      <c r="A50" s="180">
        <v>92718</v>
      </c>
      <c r="B50" s="181" t="s">
        <v>202</v>
      </c>
      <c r="C50" s="2" t="s">
        <v>187</v>
      </c>
      <c r="D50" s="180">
        <f>1.25*2</f>
        <v>2.5</v>
      </c>
      <c r="E50" s="180">
        <v>716.26</v>
      </c>
      <c r="F50" s="106">
        <f>D50*E50</f>
        <v>1790.65</v>
      </c>
    </row>
    <row r="51" spans="1:6" s="126" customFormat="1" ht="24" customHeight="1" x14ac:dyDescent="0.25">
      <c r="A51" s="113" t="s">
        <v>205</v>
      </c>
      <c r="B51" s="114" t="s">
        <v>204</v>
      </c>
      <c r="C51" s="113" t="s">
        <v>6</v>
      </c>
      <c r="D51" s="115"/>
      <c r="E51" s="116"/>
      <c r="F51" s="116">
        <f>SUM(F52:F55)</f>
        <v>7.755172</v>
      </c>
    </row>
    <row r="52" spans="1:6" s="126" customFormat="1" x14ac:dyDescent="0.25">
      <c r="A52" s="1">
        <v>142</v>
      </c>
      <c r="B52" s="25" t="s">
        <v>96</v>
      </c>
      <c r="C52" s="2" t="s">
        <v>22</v>
      </c>
      <c r="D52" s="2">
        <f>0.18/2</f>
        <v>0.09</v>
      </c>
      <c r="E52" s="4">
        <v>26.04</v>
      </c>
      <c r="F52" s="4">
        <f>D52*E52</f>
        <v>2.3435999999999999</v>
      </c>
    </row>
    <row r="53" spans="1:6" s="126" customFormat="1" x14ac:dyDescent="0.25">
      <c r="A53" s="1">
        <v>5104</v>
      </c>
      <c r="B53" s="25" t="s">
        <v>97</v>
      </c>
      <c r="C53" s="2" t="s">
        <v>7</v>
      </c>
      <c r="D53" s="1">
        <f>0.0012/2</f>
        <v>5.9999999999999995E-4</v>
      </c>
      <c r="E53" s="4">
        <v>74.42</v>
      </c>
      <c r="F53" s="4">
        <f t="shared" ref="F53:F55" si="6">D53*E53</f>
        <v>4.4651999999999997E-2</v>
      </c>
    </row>
    <row r="54" spans="1:6" s="126" customFormat="1" x14ac:dyDescent="0.25">
      <c r="A54" s="1">
        <v>88316</v>
      </c>
      <c r="B54" s="25" t="s">
        <v>23</v>
      </c>
      <c r="C54" s="2" t="s">
        <v>20</v>
      </c>
      <c r="D54" s="1">
        <f>0.207</f>
        <v>0.20699999999999999</v>
      </c>
      <c r="E54" s="4">
        <v>15.16</v>
      </c>
      <c r="F54" s="4">
        <f t="shared" si="6"/>
        <v>3.1381199999999998</v>
      </c>
    </row>
    <row r="55" spans="1:6" s="126" customFormat="1" x14ac:dyDescent="0.25">
      <c r="A55" s="1">
        <v>88323</v>
      </c>
      <c r="B55" s="25" t="s">
        <v>24</v>
      </c>
      <c r="C55" s="2" t="s">
        <v>20</v>
      </c>
      <c r="D55" s="1">
        <f>0.112</f>
        <v>0.112</v>
      </c>
      <c r="E55" s="4">
        <v>19.899999999999999</v>
      </c>
      <c r="F55" s="4">
        <f t="shared" si="6"/>
        <v>2.2287999999999997</v>
      </c>
    </row>
    <row r="56" spans="1:6" s="126" customFormat="1" x14ac:dyDescent="0.25">
      <c r="A56" s="113" t="s">
        <v>210</v>
      </c>
      <c r="B56" s="114" t="s">
        <v>204</v>
      </c>
      <c r="C56" s="113" t="s">
        <v>6</v>
      </c>
      <c r="D56" s="115"/>
      <c r="E56" s="116"/>
      <c r="F56" s="116">
        <f>SUM(F57:F59)</f>
        <v>3.7369599999999998</v>
      </c>
    </row>
    <row r="57" spans="1:6" s="126" customFormat="1" x14ac:dyDescent="0.25">
      <c r="A57" s="1">
        <v>151</v>
      </c>
      <c r="B57" s="25" t="s">
        <v>96</v>
      </c>
      <c r="C57" s="2" t="s">
        <v>121</v>
      </c>
      <c r="D57" s="2">
        <v>0.05</v>
      </c>
      <c r="E57" s="4">
        <v>21.07</v>
      </c>
      <c r="F57" s="4">
        <f>D57*E57</f>
        <v>1.0535000000000001</v>
      </c>
    </row>
    <row r="58" spans="1:6" s="126" customFormat="1" x14ac:dyDescent="0.25">
      <c r="A58" s="1">
        <v>88316</v>
      </c>
      <c r="B58" s="25" t="s">
        <v>23</v>
      </c>
      <c r="C58" s="2" t="s">
        <v>20</v>
      </c>
      <c r="D58" s="1">
        <f>0.207/2</f>
        <v>0.10349999999999999</v>
      </c>
      <c r="E58" s="4">
        <v>15.16</v>
      </c>
      <c r="F58" s="4">
        <f t="shared" ref="F58:F59" si="7">D58*E58</f>
        <v>1.5690599999999999</v>
      </c>
    </row>
    <row r="59" spans="1:6" s="126" customFormat="1" x14ac:dyDescent="0.25">
      <c r="A59" s="1">
        <v>88323</v>
      </c>
      <c r="B59" s="25" t="s">
        <v>24</v>
      </c>
      <c r="C59" s="2" t="s">
        <v>20</v>
      </c>
      <c r="D59" s="1">
        <f>0.112/2</f>
        <v>5.6000000000000001E-2</v>
      </c>
      <c r="E59" s="4">
        <v>19.899999999999999</v>
      </c>
      <c r="F59" s="4">
        <f t="shared" si="7"/>
        <v>1.1143999999999998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="85" zoomScaleNormal="115" zoomScaleSheetLayoutView="110" zoomScalePageLayoutView="85" workbookViewId="0">
      <selection activeCell="J6" sqref="J6:J7"/>
    </sheetView>
  </sheetViews>
  <sheetFormatPr defaultColWidth="9.140625" defaultRowHeight="19.7" customHeight="1" x14ac:dyDescent="0.25"/>
  <cols>
    <col min="1" max="1" width="13.5703125" style="171" customWidth="1"/>
    <col min="2" max="2" width="43.7109375" style="171" customWidth="1"/>
    <col min="3" max="3" width="16.28515625" style="171" bestFit="1" customWidth="1"/>
    <col min="4" max="4" width="12.140625" style="171" customWidth="1"/>
    <col min="5" max="5" width="15.85546875" style="171" bestFit="1" customWidth="1"/>
    <col min="6" max="6" width="7.85546875" style="171" bestFit="1" customWidth="1"/>
    <col min="7" max="7" width="15.85546875" style="171" bestFit="1" customWidth="1"/>
    <col min="8" max="8" width="8.7109375" style="171" bestFit="1" customWidth="1"/>
    <col min="9" max="9" width="9.140625" style="171"/>
    <col min="10" max="10" width="25.85546875" style="171" bestFit="1" customWidth="1"/>
    <col min="11" max="16384" width="9.140625" style="171"/>
  </cols>
  <sheetData>
    <row r="1" spans="1:10" ht="12.75" customHeight="1" x14ac:dyDescent="0.25">
      <c r="A1" s="366" t="s">
        <v>226</v>
      </c>
      <c r="B1" s="367"/>
      <c r="C1" s="367"/>
      <c r="D1" s="367"/>
      <c r="E1" s="367"/>
      <c r="F1" s="367"/>
      <c r="G1" s="367"/>
      <c r="H1" s="367"/>
      <c r="I1" s="367"/>
      <c r="J1" s="368"/>
    </row>
    <row r="2" spans="1:10" ht="12.75" customHeight="1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9"/>
    </row>
    <row r="3" spans="1:10" ht="12.75" customHeight="1" x14ac:dyDescent="0.25">
      <c r="A3" s="360"/>
      <c r="B3" s="361"/>
      <c r="C3" s="361"/>
      <c r="D3" s="361"/>
      <c r="E3" s="361"/>
      <c r="F3" s="361"/>
      <c r="G3" s="361"/>
      <c r="H3" s="361"/>
      <c r="I3" s="361"/>
      <c r="J3" s="369"/>
    </row>
    <row r="4" spans="1:10" ht="12.75" customHeight="1" x14ac:dyDescent="0.25">
      <c r="A4" s="360"/>
      <c r="B4" s="361"/>
      <c r="C4" s="361"/>
      <c r="D4" s="361"/>
      <c r="E4" s="361"/>
      <c r="F4" s="361"/>
      <c r="G4" s="361"/>
      <c r="H4" s="361"/>
      <c r="I4" s="361"/>
      <c r="J4" s="369"/>
    </row>
    <row r="5" spans="1:10" ht="12.75" customHeight="1" x14ac:dyDescent="0.25">
      <c r="A5" s="362"/>
      <c r="B5" s="363"/>
      <c r="C5" s="363"/>
      <c r="D5" s="363"/>
      <c r="E5" s="363"/>
      <c r="F5" s="363"/>
      <c r="G5" s="363"/>
      <c r="H5" s="363"/>
      <c r="I5" s="363"/>
      <c r="J5" s="370"/>
    </row>
    <row r="6" spans="1:10" s="172" customFormat="1" ht="19.5" customHeight="1" x14ac:dyDescent="0.25">
      <c r="A6" s="252" t="s">
        <v>147</v>
      </c>
      <c r="B6" s="364" t="s">
        <v>223</v>
      </c>
      <c r="C6" s="365"/>
      <c r="D6" s="365"/>
      <c r="E6" s="365"/>
      <c r="F6" s="365"/>
      <c r="G6" s="365"/>
      <c r="H6" s="365"/>
      <c r="I6" s="373" t="s">
        <v>185</v>
      </c>
      <c r="J6" s="287" t="s">
        <v>229</v>
      </c>
    </row>
    <row r="7" spans="1:10" s="172" customFormat="1" ht="19.5" customHeight="1" x14ac:dyDescent="0.25">
      <c r="A7" s="175" t="s">
        <v>148</v>
      </c>
      <c r="B7" s="364" t="s">
        <v>219</v>
      </c>
      <c r="C7" s="365"/>
      <c r="D7" s="365"/>
      <c r="E7" s="365"/>
      <c r="F7" s="365"/>
      <c r="G7" s="365"/>
      <c r="H7" s="365"/>
      <c r="I7" s="373"/>
      <c r="J7" s="287"/>
    </row>
    <row r="8" spans="1:10" s="172" customFormat="1" ht="19.5" customHeight="1" x14ac:dyDescent="0.25">
      <c r="A8" s="175" t="s">
        <v>149</v>
      </c>
      <c r="B8" s="364" t="s">
        <v>220</v>
      </c>
      <c r="C8" s="365"/>
      <c r="D8" s="365"/>
      <c r="E8" s="365"/>
      <c r="F8" s="365"/>
      <c r="G8" s="365"/>
      <c r="H8" s="365"/>
      <c r="I8" s="373" t="str">
        <f>[2]RESUMO!C8</f>
        <v>BDI:</v>
      </c>
      <c r="J8" s="288">
        <v>0.28349999999999997</v>
      </c>
    </row>
    <row r="9" spans="1:10" s="172" customFormat="1" ht="19.5" customHeight="1" thickBot="1" x14ac:dyDescent="0.3">
      <c r="A9" s="176" t="s">
        <v>150</v>
      </c>
      <c r="B9" s="371" t="s">
        <v>227</v>
      </c>
      <c r="C9" s="372"/>
      <c r="D9" s="372"/>
      <c r="E9" s="372"/>
      <c r="F9" s="372"/>
      <c r="G9" s="372"/>
      <c r="H9" s="372"/>
      <c r="I9" s="374"/>
      <c r="J9" s="375"/>
    </row>
    <row r="10" spans="1:10" ht="13.5" thickBot="1" x14ac:dyDescent="0.3">
      <c r="A10" s="376"/>
      <c r="B10" s="376"/>
      <c r="C10" s="376"/>
      <c r="D10" s="376"/>
      <c r="E10" s="376"/>
      <c r="F10" s="376"/>
      <c r="G10" s="376"/>
      <c r="H10" s="376"/>
      <c r="I10" s="173"/>
    </row>
    <row r="11" spans="1:10" ht="27" customHeight="1" x14ac:dyDescent="0.25">
      <c r="A11" s="377" t="s">
        <v>151</v>
      </c>
      <c r="B11" s="378" t="s">
        <v>180</v>
      </c>
      <c r="C11" s="378" t="s">
        <v>181</v>
      </c>
      <c r="D11" s="386" t="s">
        <v>182</v>
      </c>
      <c r="E11" s="377" t="s">
        <v>183</v>
      </c>
      <c r="F11" s="379" t="s">
        <v>182</v>
      </c>
      <c r="G11" s="389" t="s">
        <v>228</v>
      </c>
      <c r="H11" s="386" t="s">
        <v>182</v>
      </c>
      <c r="I11" s="377" t="s">
        <v>182</v>
      </c>
      <c r="J11" s="379" t="s">
        <v>76</v>
      </c>
    </row>
    <row r="12" spans="1:10" ht="27" customHeight="1" x14ac:dyDescent="0.25">
      <c r="A12" s="380">
        <f>'P. Referência'!B8</f>
        <v>1</v>
      </c>
      <c r="B12" s="261" t="str">
        <f>'P. Referência'!D8</f>
        <v>ADMINISTRAÇÃO DA OBRA</v>
      </c>
      <c r="C12" s="174">
        <f>'P. Referência'!I11</f>
        <v>3897.7200000000003</v>
      </c>
      <c r="D12" s="387">
        <v>1</v>
      </c>
      <c r="E12" s="392">
        <f>$C12*F12</f>
        <v>1948.8600000000001</v>
      </c>
      <c r="F12" s="393">
        <v>0.5</v>
      </c>
      <c r="G12" s="390">
        <f>$C12*H12</f>
        <v>1948.8600000000001</v>
      </c>
      <c r="H12" s="396">
        <v>0.5</v>
      </c>
      <c r="I12" s="398">
        <f>H12+F12</f>
        <v>1</v>
      </c>
      <c r="J12" s="381">
        <f>G12</f>
        <v>1948.8600000000001</v>
      </c>
    </row>
    <row r="13" spans="1:10" ht="27" customHeight="1" x14ac:dyDescent="0.25">
      <c r="A13" s="380">
        <f>'P. Referência'!B13</f>
        <v>2</v>
      </c>
      <c r="B13" s="261" t="str">
        <f>'P. Referência'!D13</f>
        <v>SERVIÇOS PRELIMINARES</v>
      </c>
      <c r="C13" s="174">
        <f>'P. Referência'!I17</f>
        <v>1896.38</v>
      </c>
      <c r="D13" s="387">
        <v>1</v>
      </c>
      <c r="E13" s="392">
        <f t="shared" ref="E13:E18" si="0">$C13*F13</f>
        <v>1896.38</v>
      </c>
      <c r="F13" s="393">
        <v>1</v>
      </c>
      <c r="G13" s="390">
        <f t="shared" ref="G13:G18" si="1">$C13*H13</f>
        <v>0</v>
      </c>
      <c r="H13" s="396">
        <v>0</v>
      </c>
      <c r="I13" s="398">
        <f t="shared" ref="I13:I18" si="2">H13+F13</f>
        <v>1</v>
      </c>
      <c r="J13" s="381">
        <f t="shared" ref="J13:J18" si="3">G13</f>
        <v>0</v>
      </c>
    </row>
    <row r="14" spans="1:10" ht="27" customHeight="1" x14ac:dyDescent="0.25">
      <c r="A14" s="380">
        <f>'P. Referência'!B19</f>
        <v>3</v>
      </c>
      <c r="B14" s="261" t="str">
        <f>'P. Referência'!D19</f>
        <v>MOBILIZAÇÃO E DESMOBILIZAÇÃO DE OBRA</v>
      </c>
      <c r="C14" s="174">
        <f>'P. Referência'!I22</f>
        <v>997.16</v>
      </c>
      <c r="D14" s="387">
        <v>1</v>
      </c>
      <c r="E14" s="392">
        <f t="shared" si="0"/>
        <v>498.58</v>
      </c>
      <c r="F14" s="393">
        <v>0.5</v>
      </c>
      <c r="G14" s="390">
        <f t="shared" si="1"/>
        <v>498.58</v>
      </c>
      <c r="H14" s="396">
        <v>0.5</v>
      </c>
      <c r="I14" s="398">
        <f t="shared" si="2"/>
        <v>1</v>
      </c>
      <c r="J14" s="381">
        <f t="shared" si="3"/>
        <v>498.58</v>
      </c>
    </row>
    <row r="15" spans="1:10" ht="27" customHeight="1" x14ac:dyDescent="0.25">
      <c r="A15" s="380">
        <f>'P. Referência'!B24</f>
        <v>4</v>
      </c>
      <c r="B15" s="261" t="str">
        <f>'P. Referência'!D24</f>
        <v>REPARO E ADEQUAÇÃO DE MURO EXTERNO</v>
      </c>
      <c r="C15" s="174">
        <f>'P. Referência'!I36</f>
        <v>81924.26999999999</v>
      </c>
      <c r="D15" s="387">
        <v>1</v>
      </c>
      <c r="E15" s="392">
        <f t="shared" si="0"/>
        <v>32769.707999999999</v>
      </c>
      <c r="F15" s="393">
        <v>0.4</v>
      </c>
      <c r="G15" s="390">
        <f t="shared" si="1"/>
        <v>49154.561999999991</v>
      </c>
      <c r="H15" s="396">
        <v>0.6</v>
      </c>
      <c r="I15" s="398">
        <f t="shared" si="2"/>
        <v>1</v>
      </c>
      <c r="J15" s="381">
        <f t="shared" si="3"/>
        <v>49154.561999999991</v>
      </c>
    </row>
    <row r="16" spans="1:10" ht="27" customHeight="1" x14ac:dyDescent="0.25">
      <c r="A16" s="380">
        <f>'P. Referência'!B38</f>
        <v>5</v>
      </c>
      <c r="B16" s="261" t="str">
        <f>'P. Referência'!D38</f>
        <v>PINTURA</v>
      </c>
      <c r="C16" s="174">
        <f>'P. Referência'!I50</f>
        <v>38217.68</v>
      </c>
      <c r="D16" s="387">
        <v>1</v>
      </c>
      <c r="E16" s="392">
        <f t="shared" si="0"/>
        <v>15287.072</v>
      </c>
      <c r="F16" s="393">
        <v>0.4</v>
      </c>
      <c r="G16" s="390">
        <f t="shared" si="1"/>
        <v>22930.608</v>
      </c>
      <c r="H16" s="396">
        <v>0.6</v>
      </c>
      <c r="I16" s="398">
        <f t="shared" si="2"/>
        <v>1</v>
      </c>
      <c r="J16" s="381">
        <f t="shared" si="3"/>
        <v>22930.608</v>
      </c>
    </row>
    <row r="17" spans="1:10" ht="27" customHeight="1" x14ac:dyDescent="0.25">
      <c r="A17" s="380">
        <f>'P. Referência'!B52</f>
        <v>6</v>
      </c>
      <c r="B17" s="261" t="str">
        <f>'P. Referência'!D52</f>
        <v>INSTALAÇÕES ELÉTRICAS</v>
      </c>
      <c r="C17" s="174">
        <f>'P. Referência'!I61</f>
        <v>1363.73</v>
      </c>
      <c r="D17" s="387">
        <v>1</v>
      </c>
      <c r="E17" s="392">
        <f t="shared" si="0"/>
        <v>1363.73</v>
      </c>
      <c r="F17" s="393">
        <v>1</v>
      </c>
      <c r="G17" s="390">
        <f t="shared" si="1"/>
        <v>0</v>
      </c>
      <c r="H17" s="396">
        <v>0</v>
      </c>
      <c r="I17" s="398">
        <f t="shared" si="2"/>
        <v>1</v>
      </c>
      <c r="J17" s="381">
        <f t="shared" si="3"/>
        <v>0</v>
      </c>
    </row>
    <row r="18" spans="1:10" ht="27" customHeight="1" x14ac:dyDescent="0.25">
      <c r="A18" s="380">
        <f>'P. Referência'!B63</f>
        <v>7</v>
      </c>
      <c r="B18" s="261" t="str">
        <f>'P. Referência'!D63</f>
        <v>SERVIÇOS COMPLEMENTARES</v>
      </c>
      <c r="C18" s="174">
        <f>'P. Referência'!I68</f>
        <v>1858.1399999999999</v>
      </c>
      <c r="D18" s="387">
        <v>1</v>
      </c>
      <c r="E18" s="392">
        <f t="shared" si="0"/>
        <v>0</v>
      </c>
      <c r="F18" s="393">
        <v>0</v>
      </c>
      <c r="G18" s="390">
        <f t="shared" si="1"/>
        <v>1858.1399999999999</v>
      </c>
      <c r="H18" s="396">
        <v>1</v>
      </c>
      <c r="I18" s="398">
        <f t="shared" si="2"/>
        <v>1</v>
      </c>
      <c r="J18" s="381">
        <f t="shared" si="3"/>
        <v>1858.1399999999999</v>
      </c>
    </row>
    <row r="19" spans="1:10" ht="27" customHeight="1" thickBot="1" x14ac:dyDescent="0.3">
      <c r="A19" s="382" t="s">
        <v>184</v>
      </c>
      <c r="B19" s="383"/>
      <c r="C19" s="384">
        <f>SUM(C12:C18)</f>
        <v>130155.07999999999</v>
      </c>
      <c r="D19" s="388">
        <f>SUM(D12:D18)/7</f>
        <v>1</v>
      </c>
      <c r="E19" s="394">
        <f>SUM(E12:E18)</f>
        <v>53764.33</v>
      </c>
      <c r="F19" s="395">
        <f>E19/C19</f>
        <v>0.41307899776174706</v>
      </c>
      <c r="G19" s="391">
        <f>SUM(G12:G18)</f>
        <v>76390.749999999985</v>
      </c>
      <c r="H19" s="397">
        <f>G19/C19</f>
        <v>0.58692100223825294</v>
      </c>
      <c r="I19" s="399">
        <f>SUM(I12:I18)/7</f>
        <v>1</v>
      </c>
      <c r="J19" s="385">
        <f>SUM(J12:J18)</f>
        <v>76390.749999999985</v>
      </c>
    </row>
  </sheetData>
  <mergeCells count="11">
    <mergeCell ref="B9:H9"/>
    <mergeCell ref="A1:J5"/>
    <mergeCell ref="B6:H6"/>
    <mergeCell ref="B7:H7"/>
    <mergeCell ref="B8:H8"/>
    <mergeCell ref="I6:I7"/>
    <mergeCell ref="J6:J7"/>
    <mergeCell ref="I8:I9"/>
    <mergeCell ref="J8:J9"/>
    <mergeCell ref="A10:H10"/>
    <mergeCell ref="A19:B19"/>
  </mergeCells>
  <pageMargins left="0.78740157480314965" right="1.7322834645669292" top="0.78740157480314965" bottom="0.98425196850393704" header="0.78740157480314965" footer="0.31496062992125984"/>
  <pageSetup paperSize="9" scale="69" orientation="landscape" r:id="rId1"/>
  <headerFooter>
    <oddHeader xml:space="preserve">&amp;R  </oddHead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Layout" zoomScale="70" zoomScaleNormal="100" zoomScaleSheetLayoutView="70" zoomScalePageLayoutView="70" workbookViewId="0">
      <selection activeCell="B11" sqref="B11:F11"/>
    </sheetView>
  </sheetViews>
  <sheetFormatPr defaultColWidth="9.140625" defaultRowHeight="12.75" x14ac:dyDescent="0.2"/>
  <cols>
    <col min="1" max="1" width="10.28515625" style="135" customWidth="1"/>
    <col min="2" max="2" width="10.42578125" style="135" customWidth="1"/>
    <col min="3" max="3" width="52.85546875" style="135" customWidth="1"/>
    <col min="4" max="4" width="9.28515625" style="135" customWidth="1"/>
    <col min="5" max="5" width="17.28515625" style="135" customWidth="1"/>
    <col min="6" max="6" width="10.5703125" style="135" customWidth="1"/>
    <col min="7" max="7" width="18" style="135" bestFit="1" customWidth="1"/>
    <col min="8" max="8" width="15.42578125" style="135" hidden="1" customWidth="1"/>
    <col min="9" max="10" width="0" style="135" hidden="1" customWidth="1"/>
    <col min="11" max="11" width="15.7109375" style="135" hidden="1" customWidth="1"/>
    <col min="12" max="13" width="0" style="135" hidden="1" customWidth="1"/>
    <col min="14" max="16384" width="9.140625" style="135"/>
  </cols>
  <sheetData>
    <row r="1" spans="1:11" ht="15" customHeight="1" x14ac:dyDescent="0.2">
      <c r="A1" s="348" t="s">
        <v>146</v>
      </c>
      <c r="B1" s="349"/>
      <c r="C1" s="349"/>
      <c r="D1" s="349"/>
      <c r="E1" s="349"/>
      <c r="F1" s="349"/>
      <c r="G1" s="350"/>
    </row>
    <row r="2" spans="1:11" ht="15" customHeight="1" x14ac:dyDescent="0.2">
      <c r="A2" s="351"/>
      <c r="B2" s="352"/>
      <c r="C2" s="352"/>
      <c r="D2" s="352"/>
      <c r="E2" s="352"/>
      <c r="F2" s="352"/>
      <c r="G2" s="353"/>
    </row>
    <row r="3" spans="1:11" ht="15" customHeight="1" x14ac:dyDescent="0.2">
      <c r="A3" s="351"/>
      <c r="B3" s="352"/>
      <c r="C3" s="352"/>
      <c r="D3" s="352"/>
      <c r="E3" s="352"/>
      <c r="F3" s="352"/>
      <c r="G3" s="353"/>
    </row>
    <row r="4" spans="1:11" ht="15" customHeight="1" x14ac:dyDescent="0.2">
      <c r="A4" s="351"/>
      <c r="B4" s="352"/>
      <c r="C4" s="352"/>
      <c r="D4" s="352"/>
      <c r="E4" s="352"/>
      <c r="F4" s="352"/>
      <c r="G4" s="353"/>
    </row>
    <row r="5" spans="1:11" ht="15" customHeight="1" thickBot="1" x14ac:dyDescent="0.25">
      <c r="A5" s="354"/>
      <c r="B5" s="355"/>
      <c r="C5" s="355"/>
      <c r="D5" s="355"/>
      <c r="E5" s="355"/>
      <c r="F5" s="355"/>
      <c r="G5" s="356"/>
    </row>
    <row r="6" spans="1:11" ht="15" customHeight="1" thickBot="1" x14ac:dyDescent="0.25">
      <c r="A6" s="136" t="s">
        <v>147</v>
      </c>
      <c r="B6" s="343" t="s">
        <v>223</v>
      </c>
      <c r="C6" s="344"/>
      <c r="D6" s="344"/>
      <c r="E6" s="345"/>
      <c r="F6" s="346" t="str">
        <f>[3]RESUMO!C6</f>
        <v>REF.:</v>
      </c>
      <c r="G6" s="357" t="str">
        <f>[4]Resumo!D6</f>
        <v>SINAPI-MT
DES_NOV/2021</v>
      </c>
      <c r="H6" s="137"/>
    </row>
    <row r="7" spans="1:11" ht="15" customHeight="1" thickBot="1" x14ac:dyDescent="0.25">
      <c r="A7" s="136" t="s">
        <v>148</v>
      </c>
      <c r="B7" s="343" t="s">
        <v>219</v>
      </c>
      <c r="C7" s="344"/>
      <c r="D7" s="344"/>
      <c r="E7" s="345"/>
      <c r="F7" s="346"/>
      <c r="G7" s="357"/>
      <c r="H7" s="138"/>
    </row>
    <row r="8" spans="1:11" ht="15" customHeight="1" thickBot="1" x14ac:dyDescent="0.25">
      <c r="A8" s="136" t="s">
        <v>149</v>
      </c>
      <c r="B8" s="343" t="s">
        <v>220</v>
      </c>
      <c r="C8" s="344"/>
      <c r="D8" s="344"/>
      <c r="E8" s="345"/>
      <c r="F8" s="346" t="str">
        <f>[3]RESUMO!C8</f>
        <v>BDI:</v>
      </c>
      <c r="G8" s="347">
        <f>G25</f>
        <v>28.347674918197008</v>
      </c>
      <c r="H8" s="138"/>
    </row>
    <row r="9" spans="1:11" ht="15" customHeight="1" thickBot="1" x14ac:dyDescent="0.25">
      <c r="A9" s="139" t="s">
        <v>150</v>
      </c>
      <c r="B9" s="343" t="s">
        <v>227</v>
      </c>
      <c r="C9" s="344"/>
      <c r="D9" s="344"/>
      <c r="E9" s="345"/>
      <c r="F9" s="346"/>
      <c r="G9" s="347"/>
      <c r="H9" s="138"/>
    </row>
    <row r="10" spans="1:11" ht="30.75" thickBot="1" x14ac:dyDescent="0.3">
      <c r="A10" s="140" t="s">
        <v>151</v>
      </c>
      <c r="B10" s="321" t="s">
        <v>152</v>
      </c>
      <c r="C10" s="322"/>
      <c r="D10" s="322"/>
      <c r="E10" s="322"/>
      <c r="F10" s="323"/>
      <c r="G10" s="141" t="s">
        <v>153</v>
      </c>
    </row>
    <row r="11" spans="1:11" ht="15.75" thickBot="1" x14ac:dyDescent="0.25">
      <c r="A11" s="142" t="s">
        <v>154</v>
      </c>
      <c r="B11" s="324" t="s">
        <v>27</v>
      </c>
      <c r="C11" s="325"/>
      <c r="D11" s="325"/>
      <c r="E11" s="325"/>
      <c r="F11" s="326"/>
      <c r="G11" s="143">
        <f>G12+G13+G14+G15</f>
        <v>7.3</v>
      </c>
      <c r="I11" s="144" t="s">
        <v>155</v>
      </c>
      <c r="J11" s="144" t="s">
        <v>156</v>
      </c>
    </row>
    <row r="12" spans="1:11" ht="13.5" thickBot="1" x14ac:dyDescent="0.25">
      <c r="A12" s="145" t="s">
        <v>81</v>
      </c>
      <c r="B12" s="327" t="s">
        <v>157</v>
      </c>
      <c r="C12" s="328"/>
      <c r="D12" s="329"/>
      <c r="E12" s="329"/>
      <c r="F12" s="330"/>
      <c r="G12" s="146">
        <v>4</v>
      </c>
      <c r="I12" s="147">
        <v>5.5</v>
      </c>
      <c r="J12" s="148">
        <v>3</v>
      </c>
      <c r="K12" s="135">
        <f>G12/100</f>
        <v>0.04</v>
      </c>
    </row>
    <row r="13" spans="1:11" ht="13.5" thickBot="1" x14ac:dyDescent="0.25">
      <c r="A13" s="149" t="s">
        <v>32</v>
      </c>
      <c r="B13" s="301" t="s">
        <v>158</v>
      </c>
      <c r="C13" s="320"/>
      <c r="D13" s="303"/>
      <c r="E13" s="303"/>
      <c r="F13" s="304"/>
      <c r="G13" s="150">
        <v>1.23</v>
      </c>
      <c r="I13" s="147">
        <v>1.39</v>
      </c>
      <c r="J13" s="148">
        <v>0.59</v>
      </c>
      <c r="K13" s="135">
        <f>G13/100</f>
        <v>1.23E-2</v>
      </c>
    </row>
    <row r="14" spans="1:11" ht="13.5" thickBot="1" x14ac:dyDescent="0.25">
      <c r="A14" s="151" t="s">
        <v>159</v>
      </c>
      <c r="B14" s="301" t="s">
        <v>160</v>
      </c>
      <c r="C14" s="320"/>
      <c r="D14" s="303"/>
      <c r="E14" s="303"/>
      <c r="F14" s="304"/>
      <c r="G14" s="150">
        <v>1.27</v>
      </c>
      <c r="I14" s="147">
        <v>1.27</v>
      </c>
      <c r="J14" s="148">
        <v>0.97</v>
      </c>
      <c r="K14" s="135">
        <f>G14/100</f>
        <v>1.2699999999999999E-2</v>
      </c>
    </row>
    <row r="15" spans="1:11" ht="13.5" thickBot="1" x14ac:dyDescent="0.25">
      <c r="A15" s="151" t="s">
        <v>161</v>
      </c>
      <c r="B15" s="331" t="s">
        <v>162</v>
      </c>
      <c r="C15" s="332"/>
      <c r="D15" s="333"/>
      <c r="E15" s="333"/>
      <c r="F15" s="334"/>
      <c r="G15" s="152">
        <v>0.8</v>
      </c>
      <c r="I15" s="153">
        <v>1</v>
      </c>
      <c r="J15" s="154">
        <v>0.8</v>
      </c>
      <c r="K15" s="135">
        <f>G15/100</f>
        <v>8.0000000000000002E-3</v>
      </c>
    </row>
    <row r="16" spans="1:11" ht="13.5" thickBot="1" x14ac:dyDescent="0.25">
      <c r="A16" s="142" t="s">
        <v>163</v>
      </c>
      <c r="B16" s="324" t="s">
        <v>164</v>
      </c>
      <c r="C16" s="335"/>
      <c r="D16" s="336"/>
      <c r="E16" s="336"/>
      <c r="F16" s="337"/>
      <c r="G16" s="143">
        <f>G17</f>
        <v>7.4</v>
      </c>
    </row>
    <row r="17" spans="1:14" ht="13.5" thickBot="1" x14ac:dyDescent="0.25">
      <c r="A17" s="155" t="s">
        <v>33</v>
      </c>
      <c r="B17" s="338" t="s">
        <v>165</v>
      </c>
      <c r="C17" s="339"/>
      <c r="D17" s="340"/>
      <c r="E17" s="340"/>
      <c r="F17" s="341"/>
      <c r="G17" s="156">
        <v>7.4</v>
      </c>
      <c r="I17" s="147">
        <v>8.9600000000000009</v>
      </c>
      <c r="J17" s="148">
        <v>6.16</v>
      </c>
      <c r="K17" s="135">
        <f>G17/100</f>
        <v>7.400000000000001E-2</v>
      </c>
    </row>
    <row r="18" spans="1:14" ht="13.5" thickBot="1" x14ac:dyDescent="0.25">
      <c r="A18" s="142" t="s">
        <v>166</v>
      </c>
      <c r="B18" s="324" t="s">
        <v>167</v>
      </c>
      <c r="C18" s="335"/>
      <c r="D18" s="336"/>
      <c r="E18" s="336"/>
      <c r="F18" s="337"/>
      <c r="G18" s="143">
        <f>G19+G20+G21+G22</f>
        <v>10.15</v>
      </c>
      <c r="I18" s="157"/>
      <c r="J18" s="157"/>
      <c r="K18" s="135">
        <f>SUM(K19:K22)</f>
        <v>0.10150000000000001</v>
      </c>
    </row>
    <row r="19" spans="1:14" x14ac:dyDescent="0.2">
      <c r="A19" s="158" t="s">
        <v>34</v>
      </c>
      <c r="B19" s="327" t="s">
        <v>168</v>
      </c>
      <c r="C19" s="342"/>
      <c r="D19" s="329"/>
      <c r="E19" s="329"/>
      <c r="F19" s="330"/>
      <c r="G19" s="159">
        <v>2</v>
      </c>
      <c r="I19" s="157"/>
      <c r="J19" s="157"/>
      <c r="K19" s="135">
        <f>G19/100</f>
        <v>0.02</v>
      </c>
    </row>
    <row r="20" spans="1:14" x14ac:dyDescent="0.2">
      <c r="A20" s="160" t="s">
        <v>31</v>
      </c>
      <c r="B20" s="301" t="s">
        <v>169</v>
      </c>
      <c r="C20" s="302"/>
      <c r="D20" s="303"/>
      <c r="E20" s="303"/>
      <c r="F20" s="304"/>
      <c r="G20" s="161">
        <v>3</v>
      </c>
      <c r="I20" s="157"/>
      <c r="J20" s="157"/>
      <c r="K20" s="135">
        <f>G20/100</f>
        <v>0.03</v>
      </c>
    </row>
    <row r="21" spans="1:14" x14ac:dyDescent="0.2">
      <c r="A21" s="162" t="s">
        <v>170</v>
      </c>
      <c r="B21" s="301" t="s">
        <v>171</v>
      </c>
      <c r="C21" s="320"/>
      <c r="D21" s="303"/>
      <c r="E21" s="303"/>
      <c r="F21" s="304"/>
      <c r="G21" s="163">
        <v>0.65</v>
      </c>
      <c r="I21" s="157"/>
      <c r="J21" s="157"/>
      <c r="K21" s="135">
        <f>G21/100</f>
        <v>6.5000000000000006E-3</v>
      </c>
    </row>
    <row r="22" spans="1:14" x14ac:dyDescent="0.2">
      <c r="A22" s="160" t="s">
        <v>172</v>
      </c>
      <c r="B22" s="301" t="s">
        <v>173</v>
      </c>
      <c r="C22" s="302"/>
      <c r="D22" s="303"/>
      <c r="E22" s="303"/>
      <c r="F22" s="304"/>
      <c r="G22" s="161">
        <v>4.5</v>
      </c>
      <c r="I22" s="157"/>
      <c r="J22" s="157"/>
      <c r="K22" s="164">
        <f>G22/100</f>
        <v>4.4999999999999998E-2</v>
      </c>
    </row>
    <row r="23" spans="1:14" ht="13.5" thickBot="1" x14ac:dyDescent="0.25">
      <c r="A23" s="305" t="s">
        <v>174</v>
      </c>
      <c r="B23" s="306"/>
      <c r="C23" s="306"/>
      <c r="D23" s="306"/>
      <c r="E23" s="306"/>
      <c r="F23" s="306"/>
      <c r="G23" s="307"/>
      <c r="I23" s="157"/>
      <c r="J23" s="157"/>
    </row>
    <row r="24" spans="1:14" ht="26.25" thickBot="1" x14ac:dyDescent="0.4">
      <c r="A24" s="308" t="s">
        <v>175</v>
      </c>
      <c r="B24" s="309"/>
      <c r="C24" s="309"/>
      <c r="D24" s="309"/>
      <c r="E24" s="309"/>
      <c r="F24" s="309"/>
      <c r="G24" s="310"/>
      <c r="I24" s="157"/>
      <c r="J24" s="157"/>
      <c r="K24" s="165">
        <f>(((1+$K$12+$K$15+$K$14)*(1+$K$13)*(1+$K$17)/(1-K18))-1)*100</f>
        <v>28.347674918197008</v>
      </c>
    </row>
    <row r="25" spans="1:14" ht="30.75" customHeight="1" thickBot="1" x14ac:dyDescent="0.25">
      <c r="A25" s="311" t="s">
        <v>176</v>
      </c>
      <c r="B25" s="312"/>
      <c r="C25" s="312"/>
      <c r="D25" s="312"/>
      <c r="E25" s="312"/>
      <c r="F25" s="313"/>
      <c r="G25" s="166">
        <f>(((1+$K$12+$K$15+$K$14)*(1+$K$13)*(1+$K$17)/(1-K18))-1)*100</f>
        <v>28.347674918197008</v>
      </c>
      <c r="I25" s="157"/>
      <c r="J25" s="157"/>
    </row>
    <row r="26" spans="1:14" ht="16.5" thickBot="1" x14ac:dyDescent="0.3">
      <c r="A26" s="314" t="s">
        <v>177</v>
      </c>
      <c r="B26" s="315"/>
      <c r="C26" s="315"/>
      <c r="D26" s="315"/>
      <c r="E26" s="315"/>
      <c r="F26" s="316"/>
      <c r="G26" s="167">
        <f>RESUMO!D18</f>
        <v>130155.07999999999</v>
      </c>
      <c r="I26" s="168"/>
      <c r="J26" s="168"/>
    </row>
    <row r="27" spans="1:14" ht="13.5" thickBot="1" x14ac:dyDescent="0.25">
      <c r="A27" s="317" t="s">
        <v>178</v>
      </c>
      <c r="B27" s="318"/>
      <c r="C27" s="318"/>
      <c r="D27" s="318"/>
      <c r="E27" s="318"/>
      <c r="F27" s="318"/>
      <c r="G27" s="319"/>
      <c r="I27" s="164"/>
      <c r="J27" s="164"/>
    </row>
    <row r="28" spans="1:14" ht="16.5" thickBot="1" x14ac:dyDescent="0.25">
      <c r="A28" s="289" t="s">
        <v>179</v>
      </c>
      <c r="B28" s="290"/>
      <c r="C28" s="290"/>
      <c r="D28" s="290"/>
      <c r="E28" s="290"/>
      <c r="F28" s="290"/>
      <c r="G28" s="291"/>
      <c r="I28" s="164"/>
      <c r="J28" s="164"/>
      <c r="N28" s="169"/>
    </row>
    <row r="29" spans="1:14" x14ac:dyDescent="0.2">
      <c r="A29" s="292"/>
      <c r="B29" s="293"/>
      <c r="C29" s="293"/>
      <c r="D29" s="293"/>
      <c r="E29" s="293"/>
      <c r="F29" s="293"/>
      <c r="G29" s="294"/>
    </row>
    <row r="30" spans="1:14" ht="18.75" x14ac:dyDescent="0.25">
      <c r="A30" s="295"/>
      <c r="B30" s="296"/>
      <c r="C30" s="296"/>
      <c r="D30" s="296"/>
      <c r="E30" s="296"/>
      <c r="F30" s="296"/>
      <c r="G30" s="297"/>
      <c r="H30" s="170"/>
    </row>
    <row r="31" spans="1:14" ht="18.75" x14ac:dyDescent="0.25">
      <c r="A31" s="295"/>
      <c r="B31" s="296"/>
      <c r="C31" s="296"/>
      <c r="D31" s="296"/>
      <c r="E31" s="296"/>
      <c r="F31" s="296"/>
      <c r="G31" s="297"/>
      <c r="H31" s="170"/>
    </row>
    <row r="32" spans="1:14" ht="13.5" thickBot="1" x14ac:dyDescent="0.25">
      <c r="A32" s="298"/>
      <c r="B32" s="299"/>
      <c r="C32" s="299"/>
      <c r="D32" s="299"/>
      <c r="E32" s="299"/>
      <c r="F32" s="299"/>
      <c r="G32" s="300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94" orientation="landscape" r:id="rId1"/>
  <headerFooter>
    <oddHeader>&amp;L&amp;G</oddHeader>
    <oddFooter>&amp;RPágina &amp;P de &amp;N</oddFooter>
  </headerFooter>
  <colBreaks count="1" manualBreakCount="1">
    <brk id="7" max="3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5"/>
  <sheetViews>
    <sheetView workbookViewId="0">
      <pane ySplit="3" topLeftCell="A4" activePane="bottomLeft" state="frozen"/>
      <selection pane="bottomLeft" activeCell="D31" sqref="D31"/>
    </sheetView>
  </sheetViews>
  <sheetFormatPr defaultRowHeight="15" x14ac:dyDescent="0.25"/>
  <cols>
    <col min="1" max="2" width="4.42578125" customWidth="1"/>
    <col min="3" max="3" width="22.140625" customWidth="1"/>
    <col min="5" max="5" width="8.42578125" customWidth="1"/>
    <col min="6" max="6" width="7.85546875" customWidth="1"/>
    <col min="9" max="9" width="10" customWidth="1"/>
    <col min="10" max="10" width="14.140625" customWidth="1"/>
  </cols>
  <sheetData>
    <row r="1" spans="3:6" ht="4.5" customHeight="1" thickBot="1" x14ac:dyDescent="0.3"/>
    <row r="2" spans="3:6" s="16" customFormat="1" ht="10.5" customHeight="1" thickBot="1" x14ac:dyDescent="0.3">
      <c r="C2" s="358" t="s">
        <v>85</v>
      </c>
      <c r="D2" s="359"/>
      <c r="E2" s="20"/>
      <c r="F2" s="20"/>
    </row>
    <row r="3" spans="3:6" s="16" customFormat="1" ht="26.45" customHeight="1" thickBot="1" x14ac:dyDescent="0.3">
      <c r="C3" s="23" t="s">
        <v>2</v>
      </c>
      <c r="D3" s="22" t="s">
        <v>80</v>
      </c>
      <c r="E3" s="19"/>
      <c r="F3" s="19"/>
    </row>
    <row r="4" spans="3:6" s="16" customFormat="1" ht="21" customHeight="1" thickBot="1" x14ac:dyDescent="0.3">
      <c r="C4" s="30" t="s">
        <v>86</v>
      </c>
      <c r="D4" s="24">
        <v>134.38</v>
      </c>
      <c r="E4" s="19"/>
      <c r="F4" s="19"/>
    </row>
    <row r="5" spans="3:6" s="16" customFormat="1" x14ac:dyDescent="0.25">
      <c r="C5" s="21" t="s">
        <v>87</v>
      </c>
      <c r="D5" s="18">
        <v>134.38</v>
      </c>
      <c r="E5" s="19"/>
      <c r="F5" s="19"/>
    </row>
    <row r="6" spans="3:6" s="16" customFormat="1" x14ac:dyDescent="0.25">
      <c r="C6" s="17" t="s">
        <v>88</v>
      </c>
      <c r="D6" s="17">
        <v>23.3</v>
      </c>
      <c r="E6" s="19"/>
      <c r="F6" s="19"/>
    </row>
    <row r="7" spans="3:6" s="16" customFormat="1" x14ac:dyDescent="0.25">
      <c r="C7" s="17" t="s">
        <v>100</v>
      </c>
      <c r="D7" s="17">
        <v>25.18</v>
      </c>
      <c r="E7" s="19"/>
      <c r="F7" s="19"/>
    </row>
    <row r="8" spans="3:6" s="16" customFormat="1" x14ac:dyDescent="0.25">
      <c r="C8" s="17" t="s">
        <v>98</v>
      </c>
      <c r="D8" s="17">
        <v>63.85</v>
      </c>
      <c r="E8" s="19"/>
      <c r="F8" s="19"/>
    </row>
    <row r="9" spans="3:6" s="16" customFormat="1" x14ac:dyDescent="0.25">
      <c r="C9" s="17" t="s">
        <v>99</v>
      </c>
      <c r="D9" s="17">
        <f>80.94/0.2</f>
        <v>404.7</v>
      </c>
    </row>
    <row r="10" spans="3:6" s="16" customFormat="1" x14ac:dyDescent="0.25">
      <c r="C10" s="17" t="s">
        <v>77</v>
      </c>
      <c r="D10" s="17">
        <f>2.5*2.5</f>
        <v>6.25</v>
      </c>
    </row>
    <row r="11" spans="3:6" s="16" customFormat="1" x14ac:dyDescent="0.25"/>
    <row r="12" spans="3:6" s="16" customFormat="1" x14ac:dyDescent="0.25"/>
    <row r="13" spans="3:6" s="16" customFormat="1" x14ac:dyDescent="0.25"/>
    <row r="14" spans="3:6" s="16" customFormat="1" x14ac:dyDescent="0.25"/>
    <row r="15" spans="3:6" s="16" customFormat="1" x14ac:dyDescent="0.25"/>
    <row r="16" spans="3:6" s="16" customFormat="1" x14ac:dyDescent="0.25"/>
    <row r="17" spans="3:4" s="16" customFormat="1" x14ac:dyDescent="0.25"/>
    <row r="18" spans="3:4" s="16" customFormat="1" x14ac:dyDescent="0.25"/>
    <row r="19" spans="3:4" s="16" customFormat="1" x14ac:dyDescent="0.25"/>
    <row r="20" spans="3:4" s="16" customFormat="1" x14ac:dyDescent="0.25"/>
    <row r="21" spans="3:4" s="16" customFormat="1" x14ac:dyDescent="0.25"/>
    <row r="22" spans="3:4" s="16" customFormat="1" x14ac:dyDescent="0.25"/>
    <row r="23" spans="3:4" s="16" customFormat="1" x14ac:dyDescent="0.25"/>
    <row r="24" spans="3:4" x14ac:dyDescent="0.25">
      <c r="C24" s="16"/>
      <c r="D24" s="16"/>
    </row>
    <row r="25" spans="3:4" x14ac:dyDescent="0.25">
      <c r="C25" s="16"/>
      <c r="D25" s="16"/>
    </row>
  </sheetData>
  <mergeCells count="1">
    <mergeCell ref="C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P. Referência</vt:lpstr>
      <vt:lpstr>Composições</vt:lpstr>
      <vt:lpstr>Cronograma</vt:lpstr>
      <vt:lpstr>BDI</vt:lpstr>
      <vt:lpstr>Quantitativos</vt:lpstr>
      <vt:lpstr>BDI!Area_de_impressao</vt:lpstr>
      <vt:lpstr>'P. Referência'!Area_de_impressao</vt:lpstr>
      <vt:lpstr>RESUMO!Area_de_impressao</vt:lpstr>
      <vt:lpstr>'P. Referência'!Titulos_de_impressao</vt:lpstr>
      <vt:lpstr>RESUMO!Titulos_de_impressao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2022-02-11T18:28:07Z</cp:lastPrinted>
  <dcterms:created xsi:type="dcterms:W3CDTF">2017-08-18T12:05:16Z</dcterms:created>
  <dcterms:modified xsi:type="dcterms:W3CDTF">2022-02-11T18:30:48Z</dcterms:modified>
</cp:coreProperties>
</file>