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quivos\3.20.50 - EQUIPE DE INFRAESTRUTURA\007 CENTRO DE TREINAMENTO\CTDT - CAMPO NOVO DO PARECIS\REFORMA\PLANILHAS\"/>
    </mc:Choice>
  </mc:AlternateContent>
  <bookViews>
    <workbookView xWindow="0" yWindow="0" windowWidth="28800" windowHeight="12435" tabRatio="807" activeTab="4"/>
  </bookViews>
  <sheets>
    <sheet name="RESUMO" sheetId="23" r:id="rId1"/>
    <sheet name="PLAN. ORÇAMENTÁRIA" sheetId="17" r:id="rId2"/>
    <sheet name="COMP." sheetId="20" r:id="rId3"/>
    <sheet name="Cronograma" sheetId="25" r:id="rId4"/>
    <sheet name="BDI" sheetId="26" r:id="rId5"/>
    <sheet name="Pintura" sheetId="21" state="hidden" r:id="rId6"/>
    <sheet name="Pedido do CT" sheetId="22" state="hidden" r:id="rId7"/>
    <sheet name="suporteComposições" sheetId="18" state="hidden" r:id="rId8"/>
    <sheet name="Mem. de Calculo" sheetId="19" state="hidden" r:id="rId9"/>
  </sheets>
  <externalReferences>
    <externalReference r:id="rId10"/>
    <externalReference r:id="rId11"/>
    <externalReference r:id="rId12"/>
  </externalReferences>
  <definedNames>
    <definedName name="_xlnm.Print_Area" localSheetId="4">BDI!$A$1:$G$32</definedName>
    <definedName name="_xlnm.Print_Area" localSheetId="3">Cronograma!$A$1:$K$25</definedName>
    <definedName name="_xlnm.Print_Area" localSheetId="6">'Pedido do CT'!$A$1:$M$23</definedName>
    <definedName name="_xlnm.Print_Area" localSheetId="1">'PLAN. ORÇAMENTÁRIA'!$B$2:$I$112</definedName>
    <definedName name="_xlnm.Print_Area" localSheetId="0">RESUMO!$B$2:$I$25</definedName>
    <definedName name="_xlnm.Print_Titles" localSheetId="1">'PLAN. ORÇAMENTÁRIA'!$2:$7</definedName>
    <definedName name="_xlnm.Print_Titles" localSheetId="0">RESUMO!$2:$12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6" l="1"/>
  <c r="B9" i="26"/>
  <c r="B8" i="26"/>
  <c r="B7" i="26"/>
  <c r="B6" i="26"/>
  <c r="G8" i="26"/>
  <c r="G6" i="26"/>
  <c r="C23" i="25"/>
  <c r="E23" i="25"/>
  <c r="G23" i="25"/>
  <c r="I23" i="25"/>
  <c r="E22" i="25"/>
  <c r="G22" i="25"/>
  <c r="I22" i="25"/>
  <c r="J22" i="25"/>
  <c r="A22" i="25"/>
  <c r="B22" i="25"/>
  <c r="C13" i="25"/>
  <c r="C14" i="25"/>
  <c r="C15" i="25"/>
  <c r="C16" i="25"/>
  <c r="C17" i="25"/>
  <c r="C18" i="25"/>
  <c r="C19" i="25"/>
  <c r="C20" i="25"/>
  <c r="C21" i="25"/>
  <c r="C22" i="25"/>
  <c r="B12" i="25"/>
  <c r="G15" i="25"/>
  <c r="E17" i="25"/>
  <c r="G18" i="25"/>
  <c r="E19" i="25"/>
  <c r="E20" i="25"/>
  <c r="E21" i="25"/>
  <c r="C12" i="25"/>
  <c r="K22" i="26"/>
  <c r="K21" i="26"/>
  <c r="K20" i="26"/>
  <c r="K18" i="26" s="1"/>
  <c r="K19" i="26"/>
  <c r="G18" i="26"/>
  <c r="K17" i="26"/>
  <c r="G16" i="26"/>
  <c r="K15" i="26"/>
  <c r="K14" i="26"/>
  <c r="K13" i="26"/>
  <c r="K12" i="26"/>
  <c r="K24" i="26" s="1"/>
  <c r="G11" i="26"/>
  <c r="J21" i="25"/>
  <c r="B21" i="25"/>
  <c r="A21" i="25"/>
  <c r="J20" i="25"/>
  <c r="B20" i="25"/>
  <c r="A20" i="25"/>
  <c r="J19" i="25"/>
  <c r="G19" i="25"/>
  <c r="B19" i="25"/>
  <c r="A19" i="25"/>
  <c r="J18" i="25"/>
  <c r="E18" i="25"/>
  <c r="B18" i="25"/>
  <c r="A18" i="25"/>
  <c r="J17" i="25"/>
  <c r="G17" i="25"/>
  <c r="B17" i="25"/>
  <c r="A17" i="25"/>
  <c r="J16" i="25"/>
  <c r="B16" i="25"/>
  <c r="A16" i="25"/>
  <c r="J15" i="25"/>
  <c r="B15" i="25"/>
  <c r="A15" i="25"/>
  <c r="J14" i="25"/>
  <c r="E14" i="25"/>
  <c r="B14" i="25"/>
  <c r="A14" i="25"/>
  <c r="J13" i="25"/>
  <c r="G13" i="25"/>
  <c r="E13" i="25"/>
  <c r="B13" i="25"/>
  <c r="A13" i="25"/>
  <c r="J12" i="25"/>
  <c r="E12" i="25"/>
  <c r="G12" i="25"/>
  <c r="A12" i="25"/>
  <c r="J8" i="25"/>
  <c r="I8" i="25"/>
  <c r="I6" i="25"/>
  <c r="D20" i="25" l="1"/>
  <c r="D14" i="25"/>
  <c r="I19" i="25"/>
  <c r="L19" i="25" s="1"/>
  <c r="G14" i="25"/>
  <c r="I14" i="25" s="1"/>
  <c r="L14" i="25" s="1"/>
  <c r="I17" i="25"/>
  <c r="L17" i="25" s="1"/>
  <c r="G20" i="25"/>
  <c r="I20" i="25" s="1"/>
  <c r="L20" i="25" s="1"/>
  <c r="I13" i="25"/>
  <c r="L13" i="25" s="1"/>
  <c r="I18" i="25"/>
  <c r="L18" i="25" s="1"/>
  <c r="I15" i="25"/>
  <c r="L15" i="25" s="1"/>
  <c r="E16" i="25"/>
  <c r="G21" i="25"/>
  <c r="I21" i="25" s="1"/>
  <c r="L21" i="25" s="1"/>
  <c r="E15" i="25"/>
  <c r="G16" i="25"/>
  <c r="D12" i="25"/>
  <c r="G25" i="26"/>
  <c r="I12" i="25"/>
  <c r="E24" i="25" l="1"/>
  <c r="D13" i="25"/>
  <c r="D23" i="25" s="1"/>
  <c r="D16" i="25"/>
  <c r="D19" i="25"/>
  <c r="D22" i="25"/>
  <c r="D15" i="25"/>
  <c r="D18" i="25"/>
  <c r="D21" i="25"/>
  <c r="D17" i="25"/>
  <c r="F23" i="25"/>
  <c r="F24" i="25" s="1"/>
  <c r="I16" i="25"/>
  <c r="L16" i="25" s="1"/>
  <c r="L12" i="25"/>
  <c r="G24" i="25"/>
  <c r="H23" i="25"/>
  <c r="L23" i="25" l="1"/>
  <c r="H24" i="25"/>
  <c r="J23" i="25"/>
  <c r="I23" i="23" l="1"/>
  <c r="C23" i="23"/>
  <c r="I22" i="23"/>
  <c r="C22" i="23"/>
  <c r="I21" i="23"/>
  <c r="I20" i="23"/>
  <c r="C21" i="23"/>
  <c r="C20" i="23"/>
  <c r="I19" i="23"/>
  <c r="I18" i="23"/>
  <c r="C19" i="23"/>
  <c r="C18" i="23"/>
  <c r="C17" i="23"/>
  <c r="C16" i="23"/>
  <c r="I15" i="23"/>
  <c r="C15" i="23"/>
  <c r="C14" i="23"/>
  <c r="I13" i="23"/>
  <c r="C13" i="23"/>
  <c r="G99" i="17"/>
  <c r="G146" i="20"/>
  <c r="G145" i="20"/>
  <c r="G144" i="20"/>
  <c r="G143" i="20"/>
  <c r="G142" i="20"/>
  <c r="G141" i="20"/>
  <c r="G147" i="20" s="1"/>
  <c r="G140" i="20"/>
  <c r="F55" i="20"/>
  <c r="F49" i="20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23" i="17"/>
  <c r="H16" i="17"/>
  <c r="H17" i="17"/>
  <c r="H19" i="17"/>
  <c r="H10" i="17"/>
  <c r="H9" i="17"/>
  <c r="E6" i="22" l="1"/>
  <c r="F6" i="22" s="1"/>
  <c r="K6" i="22"/>
  <c r="L6" i="22" s="1"/>
  <c r="E7" i="22"/>
  <c r="F7" i="22" s="1"/>
  <c r="K7" i="22"/>
  <c r="L7" i="22" s="1"/>
  <c r="E8" i="22"/>
  <c r="F8" i="22" s="1"/>
  <c r="K8" i="22"/>
  <c r="L8" i="22"/>
  <c r="E9" i="22"/>
  <c r="F9" i="22" s="1"/>
  <c r="K9" i="22"/>
  <c r="L9" i="22" s="1"/>
  <c r="E10" i="22"/>
  <c r="K10" i="22"/>
  <c r="L10" i="22"/>
  <c r="E11" i="22"/>
  <c r="F11" i="22" s="1"/>
  <c r="F12" i="22" s="1"/>
  <c r="K11" i="22"/>
  <c r="L11" i="22" s="1"/>
  <c r="E12" i="22"/>
  <c r="K12" i="22"/>
  <c r="L12" i="22"/>
  <c r="E13" i="22"/>
  <c r="F13" i="22" s="1"/>
  <c r="F14" i="22" s="1"/>
  <c r="K13" i="22"/>
  <c r="L13" i="22"/>
  <c r="E14" i="22"/>
  <c r="K14" i="22"/>
  <c r="L14" i="22"/>
  <c r="E15" i="22"/>
  <c r="F15" i="22" s="1"/>
  <c r="K15" i="22"/>
  <c r="E16" i="22"/>
  <c r="F16" i="22" s="1"/>
  <c r="K16" i="22"/>
  <c r="E17" i="22"/>
  <c r="F17" i="22" s="1"/>
  <c r="K17" i="22"/>
  <c r="L17" i="22"/>
  <c r="K18" i="22"/>
  <c r="L18" i="22"/>
  <c r="L19" i="22" s="1"/>
  <c r="K19" i="22"/>
  <c r="K20" i="22"/>
  <c r="L20" i="22"/>
  <c r="K21" i="22"/>
  <c r="L21" i="22"/>
  <c r="K22" i="22"/>
  <c r="L22" i="22" s="1"/>
  <c r="I17" i="17" l="1"/>
  <c r="H91" i="17"/>
  <c r="I91" i="17" s="1"/>
  <c r="H90" i="17"/>
  <c r="I90" i="17" s="1"/>
  <c r="H89" i="17"/>
  <c r="I89" i="17" s="1"/>
  <c r="H87" i="17"/>
  <c r="I87" i="17" s="1"/>
  <c r="H88" i="17"/>
  <c r="I88" i="17" s="1"/>
  <c r="H83" i="17"/>
  <c r="I83" i="17" s="1"/>
  <c r="H84" i="17"/>
  <c r="I84" i="17" s="1"/>
  <c r="H85" i="17"/>
  <c r="I85" i="17" s="1"/>
  <c r="H86" i="17"/>
  <c r="I86" i="17" s="1"/>
  <c r="H82" i="17"/>
  <c r="I82" i="17" s="1"/>
  <c r="H102" i="17"/>
  <c r="F102" i="17"/>
  <c r="F104" i="17"/>
  <c r="G163" i="20"/>
  <c r="G164" i="20"/>
  <c r="G162" i="20"/>
  <c r="G161" i="20"/>
  <c r="F103" i="17"/>
  <c r="H103" i="17"/>
  <c r="I103" i="17" s="1"/>
  <c r="I102" i="17" l="1"/>
  <c r="I92" i="17"/>
  <c r="G165" i="20"/>
  <c r="G104" i="17" s="1"/>
  <c r="H104" i="17" s="1"/>
  <c r="I104" i="17" s="1"/>
  <c r="G6" i="21"/>
  <c r="G8" i="21"/>
  <c r="G7" i="21"/>
  <c r="G4" i="21"/>
  <c r="G5" i="21"/>
  <c r="G133" i="20" l="1"/>
  <c r="H78" i="17"/>
  <c r="I78" i="17" s="1"/>
  <c r="H77" i="17"/>
  <c r="I77" i="17" s="1"/>
  <c r="G157" i="20"/>
  <c r="G156" i="20"/>
  <c r="G151" i="20"/>
  <c r="G152" i="20"/>
  <c r="G153" i="20"/>
  <c r="G154" i="20"/>
  <c r="G155" i="20"/>
  <c r="G150" i="20"/>
  <c r="H101" i="17"/>
  <c r="I101" i="17" s="1"/>
  <c r="F49" i="17"/>
  <c r="F50" i="17"/>
  <c r="F51" i="17"/>
  <c r="F37" i="17"/>
  <c r="I37" i="17" s="1"/>
  <c r="F36" i="17"/>
  <c r="I36" i="17" s="1"/>
  <c r="F35" i="17"/>
  <c r="I35" i="17" s="1"/>
  <c r="F34" i="17"/>
  <c r="I34" i="17" s="1"/>
  <c r="F33" i="17"/>
  <c r="I33" i="17" s="1"/>
  <c r="F32" i="17"/>
  <c r="I32" i="17" s="1"/>
  <c r="F29" i="17"/>
  <c r="I29" i="17" s="1"/>
  <c r="F31" i="17"/>
  <c r="I31" i="17" s="1"/>
  <c r="F30" i="17"/>
  <c r="I30" i="17" s="1"/>
  <c r="F28" i="17"/>
  <c r="I28" i="17" s="1"/>
  <c r="F27" i="17"/>
  <c r="I27" i="17" s="1"/>
  <c r="F26" i="17"/>
  <c r="I26" i="17" s="1"/>
  <c r="F25" i="17"/>
  <c r="I25" i="17" s="1"/>
  <c r="F24" i="17"/>
  <c r="I24" i="17" s="1"/>
  <c r="F23" i="17"/>
  <c r="G131" i="20"/>
  <c r="G132" i="20"/>
  <c r="G134" i="20"/>
  <c r="G135" i="20"/>
  <c r="G136" i="20"/>
  <c r="G130" i="20"/>
  <c r="G124" i="20"/>
  <c r="G126" i="20"/>
  <c r="G125" i="20"/>
  <c r="G123" i="20"/>
  <c r="G113" i="20"/>
  <c r="G115" i="20"/>
  <c r="G116" i="20"/>
  <c r="G117" i="20"/>
  <c r="G118" i="20"/>
  <c r="G119" i="20"/>
  <c r="E114" i="20"/>
  <c r="G114" i="20" s="1"/>
  <c r="G112" i="20"/>
  <c r="E104" i="20"/>
  <c r="G104" i="20" s="1"/>
  <c r="G107" i="20"/>
  <c r="G108" i="20"/>
  <c r="G106" i="20"/>
  <c r="G105" i="20"/>
  <c r="G103" i="20"/>
  <c r="G99" i="20"/>
  <c r="G98" i="20"/>
  <c r="G94" i="20"/>
  <c r="G93" i="20"/>
  <c r="G89" i="20"/>
  <c r="G88" i="20"/>
  <c r="G84" i="20"/>
  <c r="G83" i="20"/>
  <c r="G82" i="20"/>
  <c r="G78" i="20"/>
  <c r="G77" i="20"/>
  <c r="G76" i="20"/>
  <c r="G75" i="20"/>
  <c r="G71" i="20"/>
  <c r="G70" i="20"/>
  <c r="G69" i="20"/>
  <c r="G68" i="20"/>
  <c r="H99" i="17" l="1"/>
  <c r="I99" i="17" s="1"/>
  <c r="G158" i="20"/>
  <c r="G100" i="17" s="1"/>
  <c r="H100" i="17" s="1"/>
  <c r="I100" i="17" s="1"/>
  <c r="G95" i="20"/>
  <c r="G100" i="20"/>
  <c r="G76" i="17" s="1"/>
  <c r="H76" i="17" s="1"/>
  <c r="I76" i="17" s="1"/>
  <c r="G127" i="20"/>
  <c r="G97" i="17" s="1"/>
  <c r="G137" i="20"/>
  <c r="G98" i="17" s="1"/>
  <c r="G120" i="20"/>
  <c r="G96" i="17" s="1"/>
  <c r="G90" i="20"/>
  <c r="G74" i="17" s="1"/>
  <c r="H74" i="17" s="1"/>
  <c r="G109" i="20"/>
  <c r="G95" i="17" s="1"/>
  <c r="G79" i="20"/>
  <c r="G72" i="17" s="1"/>
  <c r="H72" i="17" s="1"/>
  <c r="I72" i="17" s="1"/>
  <c r="G85" i="20"/>
  <c r="G73" i="17" s="1"/>
  <c r="H73" i="17" s="1"/>
  <c r="I73" i="17" s="1"/>
  <c r="G72" i="20"/>
  <c r="G71" i="17" s="1"/>
  <c r="H71" i="17" s="1"/>
  <c r="I71" i="17" s="1"/>
  <c r="G170" i="20"/>
  <c r="G169" i="20"/>
  <c r="G168" i="20"/>
  <c r="G62" i="20"/>
  <c r="G61" i="20"/>
  <c r="G63" i="20"/>
  <c r="G45" i="20"/>
  <c r="G44" i="20"/>
  <c r="G43" i="20"/>
  <c r="G75" i="17" l="1"/>
  <c r="H75" i="17" s="1"/>
  <c r="G171" i="20"/>
  <c r="G64" i="20"/>
  <c r="G46" i="20"/>
  <c r="G45" i="17" s="1"/>
  <c r="H45" i="17" s="1"/>
  <c r="I45" i="17" s="1"/>
  <c r="F38" i="20"/>
  <c r="G38" i="20" s="1"/>
  <c r="G36" i="20"/>
  <c r="G37" i="20"/>
  <c r="G39" i="20"/>
  <c r="G35" i="20"/>
  <c r="G31" i="20"/>
  <c r="G30" i="20"/>
  <c r="G25" i="20"/>
  <c r="G26" i="20"/>
  <c r="G24" i="20"/>
  <c r="G20" i="20"/>
  <c r="G19" i="20"/>
  <c r="G18" i="20"/>
  <c r="G17" i="20"/>
  <c r="G16" i="20"/>
  <c r="G15" i="20"/>
  <c r="G14" i="20"/>
  <c r="G10" i="20"/>
  <c r="G9" i="20"/>
  <c r="G8" i="20"/>
  <c r="F96" i="17"/>
  <c r="H108" i="17"/>
  <c r="I108" i="17" s="1"/>
  <c r="H96" i="17"/>
  <c r="I96" i="17" s="1"/>
  <c r="H97" i="17"/>
  <c r="I97" i="17" s="1"/>
  <c r="H98" i="17"/>
  <c r="I98" i="17" s="1"/>
  <c r="F68" i="17"/>
  <c r="F69" i="17"/>
  <c r="F75" i="17"/>
  <c r="F74" i="17"/>
  <c r="I74" i="17" s="1"/>
  <c r="H70" i="17"/>
  <c r="I70" i="17" s="1"/>
  <c r="H69" i="17"/>
  <c r="H95" i="17"/>
  <c r="I95" i="17" s="1"/>
  <c r="F15" i="17"/>
  <c r="F19" i="17"/>
  <c r="F16" i="17"/>
  <c r="H68" i="17"/>
  <c r="I68" i="17" s="1"/>
  <c r="H56" i="17"/>
  <c r="I56" i="17" s="1"/>
  <c r="H55" i="17"/>
  <c r="I55" i="17" s="1"/>
  <c r="F60" i="17"/>
  <c r="H60" i="17"/>
  <c r="G49" i="20"/>
  <c r="G57" i="20"/>
  <c r="G56" i="20"/>
  <c r="G55" i="20"/>
  <c r="G51" i="20"/>
  <c r="G50" i="20"/>
  <c r="H62" i="17"/>
  <c r="I62" i="17" s="1"/>
  <c r="H61" i="17"/>
  <c r="I61" i="17" s="1"/>
  <c r="H49" i="17"/>
  <c r="I49" i="17" s="1"/>
  <c r="H50" i="17"/>
  <c r="I50" i="17" s="1"/>
  <c r="H51" i="17"/>
  <c r="I51" i="17" s="1"/>
  <c r="I19" i="17"/>
  <c r="I23" i="17"/>
  <c r="I60" i="17" l="1"/>
  <c r="I75" i="17"/>
  <c r="I69" i="17"/>
  <c r="I52" i="17"/>
  <c r="I17" i="23" s="1"/>
  <c r="I57" i="17"/>
  <c r="I38" i="17"/>
  <c r="G11" i="20"/>
  <c r="G14" i="17" s="1"/>
  <c r="H14" i="17" s="1"/>
  <c r="I14" i="17" s="1"/>
  <c r="G32" i="20"/>
  <c r="G41" i="17" s="1"/>
  <c r="G52" i="20"/>
  <c r="G58" i="20"/>
  <c r="G27" i="20"/>
  <c r="G18" i="17" s="1"/>
  <c r="H18" i="17" s="1"/>
  <c r="I18" i="17" s="1"/>
  <c r="G40" i="20"/>
  <c r="G42" i="17" s="1"/>
  <c r="G21" i="20"/>
  <c r="G15" i="17" s="1"/>
  <c r="H15" i="17" s="1"/>
  <c r="I15" i="17" s="1"/>
  <c r="I105" i="17"/>
  <c r="I79" i="17" l="1"/>
  <c r="I16" i="17"/>
  <c r="F9" i="17" l="1"/>
  <c r="F10" i="17"/>
  <c r="F19" i="18" l="1"/>
  <c r="H42" i="17" l="1"/>
  <c r="I42" i="17" s="1"/>
  <c r="F64" i="18" l="1"/>
  <c r="F63" i="18"/>
  <c r="F62" i="18"/>
  <c r="F61" i="18"/>
  <c r="F60" i="18"/>
  <c r="F59" i="18"/>
  <c r="F58" i="18"/>
  <c r="F55" i="18"/>
  <c r="F52" i="18" s="1"/>
  <c r="F54" i="18"/>
  <c r="F53" i="18"/>
  <c r="H109" i="17"/>
  <c r="F51" i="18"/>
  <c r="F50" i="18"/>
  <c r="F48" i="18" s="1"/>
  <c r="F49" i="18"/>
  <c r="F47" i="18"/>
  <c r="F46" i="18"/>
  <c r="F45" i="18"/>
  <c r="F43" i="18"/>
  <c r="F42" i="18"/>
  <c r="F41" i="18"/>
  <c r="F40" i="18"/>
  <c r="F39" i="18"/>
  <c r="I109" i="17" l="1"/>
  <c r="I110" i="17" s="1"/>
  <c r="F57" i="18"/>
  <c r="F44" i="18"/>
  <c r="F38" i="18"/>
  <c r="H41" i="17" l="1"/>
  <c r="I41" i="17" s="1"/>
  <c r="F34" i="18" l="1"/>
  <c r="F33" i="18"/>
  <c r="F32" i="18" s="1"/>
  <c r="I9" i="17" l="1"/>
  <c r="I10" i="17"/>
  <c r="I20" i="17" l="1"/>
  <c r="I14" i="23" s="1"/>
  <c r="I11" i="17"/>
  <c r="E31" i="18"/>
  <c r="F31" i="18" s="1"/>
  <c r="F30" i="18"/>
  <c r="F29" i="18"/>
  <c r="E25" i="18"/>
  <c r="F25" i="18" s="1"/>
  <c r="F27" i="18"/>
  <c r="F26" i="18"/>
  <c r="F23" i="18"/>
  <c r="F22" i="18"/>
  <c r="F21" i="18"/>
  <c r="F18" i="18"/>
  <c r="F17" i="18"/>
  <c r="F15" i="18"/>
  <c r="F14" i="18"/>
  <c r="F13" i="18"/>
  <c r="F12" i="18"/>
  <c r="F11" i="18"/>
  <c r="F10" i="18"/>
  <c r="F9" i="18"/>
  <c r="F8" i="18"/>
  <c r="F7" i="18"/>
  <c r="F5" i="18"/>
  <c r="F4" i="18"/>
  <c r="F3" i="18"/>
  <c r="F20" i="18" l="1"/>
  <c r="F2" i="18"/>
  <c r="F28" i="18"/>
  <c r="F24" i="18"/>
  <c r="F16" i="18"/>
  <c r="F6" i="18"/>
  <c r="H63" i="17" l="1"/>
  <c r="H43" i="17"/>
  <c r="I43" i="17" s="1"/>
  <c r="H44" i="17"/>
  <c r="I44" i="17" s="1"/>
  <c r="I63" i="17" l="1"/>
  <c r="I64" i="17" s="1"/>
  <c r="I46" i="17"/>
  <c r="H112" i="17" l="1"/>
  <c r="I16" i="23"/>
  <c r="H25" i="23" s="1"/>
</calcChain>
</file>

<file path=xl/sharedStrings.xml><?xml version="1.0" encoding="utf-8"?>
<sst xmlns="http://schemas.openxmlformats.org/spreadsheetml/2006/main" count="906" uniqueCount="444">
  <si>
    <t>M²</t>
  </si>
  <si>
    <t>SUBTOTAL</t>
  </si>
  <si>
    <t>Item</t>
  </si>
  <si>
    <t>Descrição</t>
  </si>
  <si>
    <t>Und.</t>
  </si>
  <si>
    <t>Valor Total</t>
  </si>
  <si>
    <t>M</t>
  </si>
  <si>
    <t>KG</t>
  </si>
  <si>
    <t>Código SINAPI</t>
  </si>
  <si>
    <t>CHP</t>
  </si>
  <si>
    <t>Composição 01</t>
  </si>
  <si>
    <t>Composição 02</t>
  </si>
  <si>
    <t>Und</t>
  </si>
  <si>
    <t>Composição 04</t>
  </si>
  <si>
    <t>Composição 05</t>
  </si>
  <si>
    <t>Composição 06</t>
  </si>
  <si>
    <t>PORTINHOLA DE ALUMÍNIO DE ABRIR COM GUARNIÇÃO E FIXAÇÃO (P6).</t>
  </si>
  <si>
    <t>APLICAÇÃO MANUAL DE TINTA LÁTEX ACRÍLICA, 1° LINHA, ANTIMOFO E LAVAVEL, COM DUAS DEMÃOS NA COR OVELHA.</t>
  </si>
  <si>
    <t>Total Geral</t>
  </si>
  <si>
    <t>CALHA EM CHAPA DE AÇO GALVANIZADO NÚMERO 24, DESENVOLVIMENTO DE 50 CM, INCLUSO TRANSPORTE VERTICAL. AF_06/2016.</t>
  </si>
  <si>
    <t>RUFO EM CHAPA DE AÇO GALVANIZO NÚMERO 24, CORTE DE 25CM, INCLUSO TRANSPORTE VERTICAL. AF_06/2016.</t>
  </si>
  <si>
    <t xml:space="preserve">Descrição                               </t>
  </si>
  <si>
    <t>Unidade</t>
  </si>
  <si>
    <t>Coeficiente</t>
  </si>
  <si>
    <t>Preço Unitario</t>
  </si>
  <si>
    <t>Preço total</t>
  </si>
  <si>
    <t>H</t>
  </si>
  <si>
    <t>FORNECIMENTO DE LUMINÁRIA DE EMBUTIR LUMINÁRIA PLAFON 
LED 25W EMBUTIR FORRO QUADRADO BRANCO FRIO</t>
  </si>
  <si>
    <t>AUXILIAR DE ELETRICISTA COM ENCARGOS COMPLEMENTARES</t>
  </si>
  <si>
    <t>ELETRICISTA COM ENCARGOS COMPLEMENTARES</t>
  </si>
  <si>
    <t>UND</t>
  </si>
  <si>
    <t xml:space="preserve">PINGADEIRA EM CHAPA DE AÇO GALVANIZADO NÚMERO 24, CORTE DE 25 CM, INCLUSO TRANSPORTE VERTICAL. </t>
  </si>
  <si>
    <t>SELANTE ELASTICO MONOCOMPONENTE A BASE DE POLIURETANO PARA JUNTAS DIVERSAS</t>
  </si>
  <si>
    <t>310ML</t>
  </si>
  <si>
    <t>PREGO DE ACO POLIDO COM CABECA 18 X 27 (2 1/2 X 10)</t>
  </si>
  <si>
    <t>REBITE DE ALUMINIO VAZADO DE REPUXO, 3,2 X 8 MM (1KG = 1025 UNIDADES)</t>
  </si>
  <si>
    <t>SOLDA EM BARRA DE ESTANHO-CHUMBO 50/50</t>
  </si>
  <si>
    <t>RUFO INTERNO/EXTERNO DE CHAPA DE ACO GALVANIZADA NUM 24, CORTE 25 CM (COLETADO CAIXA)</t>
  </si>
  <si>
    <t>SERVENTE COM ENCARGOS COMPLEMENTARES</t>
  </si>
  <si>
    <t>TELHADISTA COM ENCARGOS COMPLEMENTARES</t>
  </si>
  <si>
    <t>GUINCHO ELÉTRICO DE COLUNA, CAPACIDADE 400 KG, COM MOTO FREIO, MOTOR TRIFÁSICO DE 1,25 CV - CHI DIURNO. AF_03/2016</t>
  </si>
  <si>
    <t>CHI</t>
  </si>
  <si>
    <t>PORTA EM ALUMÍNIO DE ABRIR TIPO VENEZIANA COM GUARNIÇÃO, FIXAÇÃO COM PARAFUSOS - FORNECIMENTO E INSTALAÇÃO. AF_08/2015</t>
  </si>
  <si>
    <t>M2</t>
  </si>
  <si>
    <t>BUCHA DE NYLON SEM ABA S10, COM PARAFUSO DE 6,10 X 65 MM EM ACO ZINCADO COM ROSCA SOBERBA, CABECA CHATA E FENDA PHILLIPS</t>
  </si>
  <si>
    <t>Composição 3</t>
  </si>
  <si>
    <t>LUMINÁRIA TIPO PLAFON EM PLÁSTICO, DE SOBREPOR, COM 1 LÂMPADA FLUORESCENTE DE 15 W, SEM REATOR - FORNECIMENTO E INSTALAÇÃO. AF_02/2020</t>
  </si>
  <si>
    <t xml:space="preserve">FORNECIMENTO DE LUMIÁRIA LED REFLETOR RETANGULAR BIVOLT, LUZ BRANCA, 50 W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</si>
  <si>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</si>
  <si>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Orçamento</t>
  </si>
  <si>
    <t>TINTA ACRILICA PREMIUM,PRIMEIRA LINHA NA COR OVELHA 18L</t>
  </si>
  <si>
    <t>L</t>
  </si>
  <si>
    <t>PINTOR COM ENCARGOS COMPLEMENTARES</t>
  </si>
  <si>
    <t xml:space="preserve">APLICAÇÃO MANUAL DE PINTURA COM TINTA ACRÍLICA, 1° LINHA, ANTIMOFO EM PAREDES EXTERNAS DE CASAS, DUAS CORES. </t>
  </si>
  <si>
    <t>TINTA ACRILICA PREMIUM,PRIMEIRA LINHA NA COR OVELHA/VERDE FOLHA 18L</t>
  </si>
  <si>
    <t>ADMINISTRAÇÃO DA OBRA</t>
  </si>
  <si>
    <t xml:space="preserve">ENGENHEIRO CIVIL DE OBRA PLENO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</si>
  <si>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REMOÇÃO DE PINTURA</t>
  </si>
  <si>
    <t>Quant.</t>
  </si>
  <si>
    <t>ENCARREGADO GERAL COM ENCARGOS COMPLEMENTARES</t>
  </si>
  <si>
    <t>Valor Unit.</t>
  </si>
  <si>
    <t>3.2</t>
  </si>
  <si>
    <t>1.1</t>
  </si>
  <si>
    <t>1.2</t>
  </si>
  <si>
    <t>2.1</t>
  </si>
  <si>
    <t>3.1</t>
  </si>
  <si>
    <t>3.3</t>
  </si>
  <si>
    <t>3.4</t>
  </si>
  <si>
    <t>3.7</t>
  </si>
  <si>
    <t>3.8</t>
  </si>
  <si>
    <t>3.9</t>
  </si>
  <si>
    <t>3.10</t>
  </si>
  <si>
    <t>4.1</t>
  </si>
  <si>
    <t>5.1</t>
  </si>
  <si>
    <t>5.2</t>
  </si>
  <si>
    <t>6.1</t>
  </si>
  <si>
    <t>6.2</t>
  </si>
  <si>
    <t>Composição 07</t>
  </si>
  <si>
    <t>REMOÇÃO DE RUFO, CALHAS E PINGADEIRA SEM REAPROVEITAMENTO</t>
  </si>
  <si>
    <t>Composição 08</t>
  </si>
  <si>
    <t xml:space="preserve">SERVIÇO DE ADEQUAÇÃO DA ESTRUTURA METÁLICA </t>
  </si>
  <si>
    <t>SERRALHEIRO COM ENCARGOS COMPLEMENTARES</t>
  </si>
  <si>
    <t>SOLDADOR COM ENCARGOS COMPLEMENTARES</t>
  </si>
  <si>
    <t>ELETRODO REVESTIDO AWS - E-6010, DIAMETRO IGUAL A 4,00 MM</t>
  </si>
  <si>
    <t>Kg</t>
  </si>
  <si>
    <t>Barra chata em aço 5/16 x 3"</t>
  </si>
  <si>
    <t>FERRAMENTAS - FAMILIA PEDREIRO - HORISTA (ENCARGOS COMPLEMENTARES - COLETADO CAIXA)</t>
  </si>
  <si>
    <t>MOBILIZAÇÃO DE OBRA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</si>
  <si>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</si>
  <si>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CAMINHÃO TOCO, PESO BRUTO TOTAL 14.300 KG, CARGA ÚTIL MÁXIMA 9590 KG, DISTÂNCIA ENTRE EIXOS 4,76 M, POTÊNCIA 185 CV (NÃO INCLUI CARROCERIA) - CHI DIURNO. AF_06/2014</t>
  </si>
  <si>
    <t>DESMOBILIZAÇÃO DE OBRA</t>
  </si>
  <si>
    <t>Composição 09</t>
  </si>
  <si>
    <t>Composição 10</t>
  </si>
  <si>
    <t>Composição 11</t>
  </si>
  <si>
    <t>2.2</t>
  </si>
  <si>
    <t>3.0</t>
  </si>
  <si>
    <t>Cotação 01</t>
  </si>
  <si>
    <t>LOCAÇÃO DE CAÇAMBA TIPO BOTA-FORA</t>
  </si>
  <si>
    <t>EMISSÃO DE CUSTEIO DE ALVARA E REGISTROS</t>
  </si>
  <si>
    <t>PLACA DE OBRA (PARA CONSTRUÇÃO CIVIL) EM CHAPA GALVANIZADA, ADESIVADA FIXA EM ESTRUTURA DE MADEIRA.</t>
  </si>
  <si>
    <t>EMISSÃO E CUSTEIO DE ALVARÁ E REGISTROS</t>
  </si>
  <si>
    <t>Cotação - Tabela 2019 Prefeitura de Cuiabá item 136</t>
  </si>
  <si>
    <t>ALVARÁ DE OBRA</t>
  </si>
  <si>
    <t>Cotação - CREA MT</t>
  </si>
  <si>
    <t>ART/CREA DE EXECUÇÃO - AREA ATÉ 500 M²</t>
  </si>
  <si>
    <t>AUXILIAR DE ESCRITORIO COM ENCARGOS COMPLEMENTARES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</si>
  <si>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</si>
  <si>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</si>
  <si>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</si>
  <si>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</si>
  <si>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CARPINTEIRO DE FORMAS COM ENCARGOS COMPLEMENTARES</t>
  </si>
  <si>
    <t>CONCRETO MAGRO PARA LASTRO, TRAÇO 1:4,5:4,5 (CIMENTO/ AREIA MÉDIA/ BRITA 1)  - PREPARO MECÂNICO COM BETONEIRA 400 L. AF_07/2016</t>
  </si>
  <si>
    <t>M3</t>
  </si>
  <si>
    <t>Composição 12</t>
  </si>
  <si>
    <t>Composição 13</t>
  </si>
  <si>
    <t>SERVIÇOS PRELIMINARES</t>
  </si>
  <si>
    <t>SERVIÇO DE ADEQUAÇÃO DA ESTRUTURA METÁLICA</t>
  </si>
  <si>
    <t>PLANILHA ORÇAMENTÁRIA
CENTRO DE TREINAMENTO - CAMPO NOVO DO PARECIS</t>
  </si>
  <si>
    <t>Código</t>
  </si>
  <si>
    <t>2.0</t>
  </si>
  <si>
    <t>2.3</t>
  </si>
  <si>
    <t>2.4</t>
  </si>
  <si>
    <t>DEMOLIÇÃO DE ALVENARIA DE BLOCO FURADO, DE FORMA MANUAL, SEM REAPROVEITAMENTO. AF_12/2017</t>
  </si>
  <si>
    <t>MEMORIAL DE CALCULO</t>
  </si>
  <si>
    <t>1.0</t>
  </si>
  <si>
    <t>ADMINITRAÇÃO DE OBRA</t>
  </si>
  <si>
    <t>4 horas por dia x 22 dias uteis</t>
  </si>
  <si>
    <t>1 Hora  por dia X 22 dias uteis</t>
  </si>
  <si>
    <t>22 HORAS</t>
  </si>
  <si>
    <t>88 HORAS</t>
  </si>
  <si>
    <t>1 Obra - 1 Álvara</t>
  </si>
  <si>
    <t>1 unidade</t>
  </si>
  <si>
    <t>3,60 m2</t>
  </si>
  <si>
    <t>2 x 1,8m</t>
  </si>
  <si>
    <t>6,10 x 2.10</t>
  </si>
  <si>
    <t>2.5</t>
  </si>
  <si>
    <t>SERVIÇOS FINAIS</t>
  </si>
  <si>
    <t>2.8</t>
  </si>
  <si>
    <t>LIMPEZA DE PISO CERÂMICO OU PORCELANATO COM PANO ÚMIDO. AF_04/2019</t>
  </si>
  <si>
    <t>7.1</t>
  </si>
  <si>
    <t>7.2</t>
  </si>
  <si>
    <t>MURO DE ALVENARIA</t>
  </si>
  <si>
    <t>ESCAVAÇÃO MANUAL DE VALA PARA VIGA BALDRAME (INCLUINDO ESCAVAÇÃO PARA COLOCAÇÃO DE FÔRMAS). AF_06/2017</t>
  </si>
  <si>
    <t>ESCAVAÇÃO VERTICAL A CÉU ABERTO, EM OBRAS DE EDIFICAÇÃO, INCLUINDO CARGA, DESCARGA E TRANSPORTE, EM SOLO DE 1ª CATEGORIA COM ESCAVADEIRA HIDRÁULICA (CAÇAMBA: 1,2 M³ / 155 HP), FROTA DE 3 CAMINHÕES BASCULANTES DE 18 M³, DMT ATÉ 1 KM E VELOCIDADE MÉDIA 14KM/H. AF_05/2020</t>
  </si>
  <si>
    <t>CARGA, MANOBRA E DESCARGA DE ENTULHO EM CAMINHÃO BASCULANTEGA COM ESCAVADEIRA HIDRÁULICA (CAÇAMBA DE 0,80 M³ / 111 HP) E DESCARGA LIVRE (UNIDADE: M3). AF_07/2020</t>
  </si>
  <si>
    <t>ARMAÇÃO DE PILAR OU VIGA DE UMA ESTRUTURA CONVENCIONAL DE CONCRETO ARMADO EM UM EDIFÍCIO DE MÚLTIPLOS PAVIMENTOS UTILIZANDO AÇO CA-60 DE 5,0MM - MONTAGEM. AF_12/2015</t>
  </si>
  <si>
    <t>ARMAÇÃO DE PILAR OU VIGA DE UMA ESTRUTURA CONVENCIONAL DE CONCRETO ARMADO EM UM EDIFÍCIO DE MÚLTIPLOS PAVIMENTOS UTILIZANDO AÇO CA-50 DE 8,0
MM - MONTAGEM. AF_12/2015</t>
  </si>
  <si>
    <t>ARMAÇÃO DE PILAR OU VIGA DE UMA ESTRUTURA CONVENCIONAL DE CONCRETO ARMADO EM UM EDIFÍCIO DE MÚLTIPLOS PAVIMENTOS UTILIZANDO AÇO CA-50 DE 10,0 MM - MONTAGEM. AF_12/2015</t>
  </si>
  <si>
    <t>ALVENARIA DE VEDAÇÃO DE BLOCOS CERÂMICOS FURADOS NA VERTICAL DE 9X19X39CM (ESPESSURA 9CM) DE PAREDES COM ÁREA LÍQUIDA MAIOR OU IGUAL A 6M² SEM VÃOS E ARGAMASSA DE ASSENTAMENTO COM PREPARO EM BETONEIRA. AF_06/20
14</t>
  </si>
  <si>
    <t>CHAPISCO APLICADO EM ALVENARIA (SEM PRESENÇA DE VÃOS) E ESTRUTURAS DE CONCRETO DE FACHADA, COM COLHER DE PEDREIRO. ARGAMASSA TRAÇO 1:3 COM PREPARO EM BETONEIRA 400L. AF_06/2014</t>
  </si>
  <si>
    <t>EMBOÇO OU MASSA ÚNICA EM ARGAMASSA TRAÇO 1:2:8, PREPARO MECÂNICO COM BETONEIRA 400 L, APLICADA MANUALMENTE EM PANOS DE FACHADA COM PRESENÇA DE VÃOS, ESPESSURA DE 25 MM. AF_06/2014</t>
  </si>
  <si>
    <t>CHAPIM SOBRE MUROS LINEARES, EM GRANITO OU MÁRMORE, L = 25 CM, ASSENTA DO COM ARGAMASSA 1:6 COM ADITIVO. AF_11/2020</t>
  </si>
  <si>
    <t>APLICAÇÃO MANUAL DE PINTURA COM TINTA LÁTEX ACRÍLICA EM PAREDES, DUAS DEMÃOS. AF_06/2014</t>
  </si>
  <si>
    <t>APLICAÇÃO MANUAL DE FUNDO SELADOR ACRÍLICO EM PAREDES EXTERNAS DE CASA S. AF_06/2014</t>
  </si>
  <si>
    <t>3.5</t>
  </si>
  <si>
    <t>3.6</t>
  </si>
  <si>
    <t>3.11</t>
  </si>
  <si>
    <t>3.12</t>
  </si>
  <si>
    <t>3.13</t>
  </si>
  <si>
    <t>3.14</t>
  </si>
  <si>
    <t>3.15</t>
  </si>
  <si>
    <t>LUMINÁRIAS e REFLETORES</t>
  </si>
  <si>
    <r>
      <t xml:space="preserve">FABRICAÇÃO DE FÔRMA PARA </t>
    </r>
    <r>
      <rPr>
        <b/>
        <sz val="10"/>
        <rFont val="Arial"/>
        <family val="2"/>
      </rPr>
      <t>VIGAS,</t>
    </r>
    <r>
      <rPr>
        <sz val="10"/>
        <rFont val="Arial"/>
        <family val="2"/>
      </rPr>
      <t xml:space="preserve"> COM MADEIRA SERRADA, E = 25 MM. AF_09/ M2 CR 107,99
2020</t>
    </r>
  </si>
  <si>
    <r>
      <t xml:space="preserve">FABRICAÇÃO DE FÔRMA PARA </t>
    </r>
    <r>
      <rPr>
        <b/>
        <sz val="10"/>
        <rFont val="Arial"/>
        <family val="2"/>
      </rPr>
      <t>PILARES</t>
    </r>
    <r>
      <rPr>
        <sz val="10"/>
        <rFont val="Arial"/>
        <family val="2"/>
      </rPr>
      <t xml:space="preserve"> E ESTRUTURAS SIMILARES, EM CHAPA DE MADEIRA COMPENSADA RESINADA, E = 17 MM. AF_09/2020</t>
    </r>
  </si>
  <si>
    <t>REMOÇÃO DE JANELAS, DE FORMA MANUAL, SEM REAPROVEITAMENTO. AF_12/2017</t>
  </si>
  <si>
    <t>4.2</t>
  </si>
  <si>
    <t>JANELA DE AÇO DE CORRER COM 4 FOLHAS PARA VIDRO, COM BATENTE, FERRAGENS E PINTURA ANTICORROSIVA. EXCLUSIVE VIDROS, ALIZAR E CONTRAMARCO. FOR
NECIMENTO E INSTALAÇÃO. AF_12/2019</t>
  </si>
  <si>
    <t>4.3</t>
  </si>
  <si>
    <t>ESQUADRIAS - JANELAS.</t>
  </si>
  <si>
    <t xml:space="preserve">FORNECIMENTO E INSTLAÇÃO DE LUMIÁRIA INTERNA DE LED REFLETOR RETANGULAR BIVOLT, LUZ BRANCA, 150 W              </t>
  </si>
  <si>
    <t>FORNECIMENTO E INSTLAÇÃO DE LUMIÁRIA EXTERNA DE LED REFLETOR RETANGULAR BIVOLT, LUZ BRANCA, 300 W</t>
  </si>
  <si>
    <t>PLANILHA DE COMPOSIÇÃO UNITÁRIA</t>
  </si>
  <si>
    <t>FORNECIMENTO DE REFLETOR HOLOFOTE MICROLED SLIM 300W IP66 BRANCO FRIO, BIVOLT, 6.500K, 30.000LUMENS, COM PLUG</t>
  </si>
  <si>
    <t>FORNECIMENTO DE REFLETOR HOLOFOTE MICROLED SLIM 150W IP66 BRANCO FRIO, BIVOLT, 6.500K, 15.000LUMENS, COM PLUG</t>
  </si>
  <si>
    <t>COBERTURA</t>
  </si>
  <si>
    <t>REMOÇÃO DE LUMINÁRIAS, DE FORMA MANUAL, SEM REAPROVEITAMENTO. AF_12/2017</t>
  </si>
  <si>
    <t>LIXAMENTO MANUAL EM SUPERFÍCIES METÁLICAS EM OBRA. AF_01/2020</t>
  </si>
  <si>
    <t>PINTURA COM TINTA ALQUÍDICA DE FUNDO (TIPO ZARCÃO) PULVERIZADA SOBRE SUPERFÍCIES METÁLICAS (EXCETO PERFIL) EXECUTADO EM OBRA (POR DEMÃO). AF_01/2020_P</t>
  </si>
  <si>
    <t>ESQUADRIAS METÁLICAS</t>
  </si>
  <si>
    <t>INSTLAÇÕES ELÉTRICAS</t>
  </si>
  <si>
    <t>FORNECIMENTO E APLICAÇÃO DE ADESIVO DE POLIUTERANO EM CALHAS COM VEDAÇÃO DANIFICADAS</t>
  </si>
  <si>
    <t>SERVIÇOS ESPECIAIAS</t>
  </si>
  <si>
    <t>FORNECIMENTO E INTALAÇÃO DE VENTILADOR/EXAUSTOR AXIAL INDUSTRIAL</t>
  </si>
  <si>
    <t>FORNECIMENTO E INSTALAÇÃO DE COIFA COM EXAUSTOR INOX INDUSTRIAL</t>
  </si>
  <si>
    <t>CABO DE COBRE FLEXÍVEL ISOLADO, 10 MM², ANTI-CHAMA 0,6/1,0 KV, PARA CIRCUITOS TERMINAIS - FORNECIMENTO E INSTALAÇÃO. AF_12/2015</t>
  </si>
  <si>
    <t>CABO DE COBRE FLEXÍVEL ISOLADO, 16 MM², ANTI-CHAMA 0,6/1,0 KV, PARA CIRCUITOS TERMINAIS - FORNECIMENTO E INSTALAÇÃO. AF_12/2015</t>
  </si>
  <si>
    <t>CABO DE COBRE FLEXÍVEL ISOLADO, 50 MM², ANTI-CHAMA 0,6/1,0 KV, PARA DISTRIBUIÇÃO - FORNECIMENTO E INSTALAÇÃO. AF_12/2015</t>
  </si>
  <si>
    <t>FORNECIMENTO E INSTALAÇÃO DE DISPOSITIVOS DE PROTEÇÃO CONTRA SURTOS - DPS, CLASSE II</t>
  </si>
  <si>
    <t>VALOR UNITÁRIO</t>
  </si>
  <si>
    <t>REFERÊNCIA</t>
  </si>
  <si>
    <t>Cotação - Ref. Pref. De Cuiaba</t>
  </si>
  <si>
    <t>CREA MT</t>
  </si>
  <si>
    <t>ART/CREA DE OBRA OU SERVIÇO ACIMA DE R$ 15.000,00</t>
  </si>
  <si>
    <t>APROVAÇÃO DE PROJETOS DE EDIFICAÇÃO (Alvara de Reforma - Item 138)</t>
  </si>
  <si>
    <t>EMISSÃO DE CUSTEIO DE ALVARA DE REOFMA E REGISTROS NO CREA</t>
  </si>
  <si>
    <t>Cotação</t>
  </si>
  <si>
    <t>Barra chata em aço 5/16 x 3" x 6.000mm</t>
  </si>
  <si>
    <t>FORNECIMENTO E APLICAÇÃO DE ADESIVO POLIUTERANO</t>
  </si>
  <si>
    <t>SELANTE ELASTICO MONOCOMPONENTE A BASE DE POLIURETANO (PU) PARA JUNTAS  DIVERSAS, 310ML.</t>
  </si>
  <si>
    <t>FORNECIMENTO DE LUMINÁRIA DE EMBUTIR LUMINÁRIA PLAFON LED 25W EMBUTIR FORRO QUADRADO BRANCO FRIO</t>
  </si>
  <si>
    <t>88247</t>
  </si>
  <si>
    <t>88264</t>
  </si>
  <si>
    <t>UN</t>
  </si>
  <si>
    <t>2,0000000</t>
  </si>
  <si>
    <t>1,0000000</t>
  </si>
  <si>
    <t>0,1325000</t>
  </si>
  <si>
    <t>DISPOSITIVO DPS CLASSE II, 1 POLO, TENSAO MAXIMA DE 175 V, CORRENTE MAXIMA DE *90*KA (TIPO AC)</t>
  </si>
  <si>
    <t>FORNECIMENTO E INSTALAÇÃO DE DISPOSITIVO DR, 2 POLOS, SENSIBILIDADE DE 30 MA, CORRENTE DE 63 A, TIPO AC</t>
  </si>
  <si>
    <t>DISPOSITIVO DR, 2 POLOS, SENSIBILIDADE DE 30 MA, CORRENTE DE 63 A, TIPO AC</t>
  </si>
  <si>
    <t>TERMINAL A COMPRESSAO EM COBRE ESTANHADO PARA CABO 25 MM2, 1 FURO E COMPRESSAO, PARA PARAFUSO DE FIXACAO M8</t>
  </si>
  <si>
    <t>FORNECIMENTO E INSTALAÇÃO DE BARRAMENTO TRIFÁSICO PARA QUADRO DE 30 DISJUNTORES</t>
  </si>
  <si>
    <t>KIT BARRAMENTO 100A DIN 28 DISJUNTORES TRIFASICO P/ QUADRO</t>
  </si>
  <si>
    <t>COT.</t>
  </si>
  <si>
    <t>INSTALAÇÃO E INSTALAÇÃO KIT BARRAMENTO 100A DIN 28 DISJUNTORES TRIFASICO P/ QUADRO</t>
  </si>
  <si>
    <t>PLACA DE ADVERTÊNCIA - RISCO DE CHOQUE ELÉTRICO - CONFORM NBR5410</t>
  </si>
  <si>
    <t>FORNECIMENTO E INSTALAÇÃO DE PLACA DE ADVERTÊNCIA CONTRA CHOQUE ELÉTRICO E ADESIVO DE ADVERTÊNCIA (CONFORME NBR 5410)</t>
  </si>
  <si>
    <t>FORNECIMENTO E INSTALAÇÃO DE  DE PLACA DE ADVERTÊNCIA CONTRA CHOQUE ELÉTRICO E ADESIVO DE ADVERTÊNCIA (CONFORME NBR 5410)</t>
  </si>
  <si>
    <t>FORNEICMENTO E INSTALAÇÃO DE PORTA DOCUMENTOS PARA QUADRO ELÉTRICO - FOLHA A4 (CONFORME NBR 5410)</t>
  </si>
  <si>
    <t>FORNEICMENTO E INSTALAÇÃO DE PLACAS DE IDENTIFICAÇÃO PARA QUADRO ELÉTRICO - FOLHA A4 (CONFORME NBR 5410)</t>
  </si>
  <si>
    <t>FORNEICMENTO E INSTALAÇÃO DE PLACAS DE IDENFICAÇÃO PARA QUADRO ELÉTRICO - FOLHA A4 (CONFORME NBR 5410)</t>
  </si>
  <si>
    <t/>
  </si>
  <si>
    <t>AJUDANTE DE PEDREIRO COM ENCARGOS COMPLEMENTARES</t>
  </si>
  <si>
    <t>PEDREIRO COM ENCARGOS COMPLEMENTARES</t>
  </si>
  <si>
    <t>FORNECIMENTO E INSTALAÇÃO DE COIFA COM EXAUSTOR INOX INDUSTRIAL, TIPO ILHA, FORMADO INDUSTRIAL, 100X60CM</t>
  </si>
  <si>
    <t>CHAPA/BOBINA LISA EM ALUMINIO, LIGA 1.200 - H14, QUALQUER ESPESSURA, QUALQUER
LARGURA</t>
  </si>
  <si>
    <t>AUXILIAR DE SERRALHEIRO COM ENCARGOS COMPLEMENTARES</t>
  </si>
  <si>
    <t>FORNECIMENTO E INSTALAÇÃO DE COIFA COM EXAUSTOR INOX INDUSTRIAL, TIPO ILHA, FORMADO INDUSTRIAL, 100X60CM, 220v.</t>
  </si>
  <si>
    <t>FORNECIMENTO E INTALAÇÃO DE VENTILADOR/EXAUSTOR AXIAL INDUSTRIAL Móvel 50cm 1 HP Monofásico - GOAR-EM50M4P</t>
  </si>
  <si>
    <t>EMBOÇO OU MASSA ÚNICA EM ARGAMASSA TRAÇO 1:2:8, PREPARO MECÂNICO COM BETONEIRA 400 L, APLICADA MANUALMENTE EM PANOS CEGOS DE FACHADA (SEM PR
ESENÇA DE VÃOS), ESPESSURA DE 25 MM. AF_06/2014</t>
  </si>
  <si>
    <t>m3</t>
  </si>
  <si>
    <t>FORNECIMENTO E INTALAÇÃO DE VENTILADOR/EXAUSTOR AXIAL INDUSTRIAL MÓVEL 50cm 1 HP MONOFÁSICO - GOAR-EM50M4P</t>
  </si>
  <si>
    <t>UND.</t>
  </si>
  <si>
    <t>PONTO DE TOMADA RESIDENCIAL INCLUINDO TOMADA 20A/250V, CAIXA ELÉTRICA, ELETRODUTO, CABO, RASGO, QUEBRA E CHUMBAMENTO. AF_01/2016</t>
  </si>
  <si>
    <t>CABO ELETRÔNICO CATEGORIA 6, INSTALADO EM EDIFICAÇÃO RESIDENCIAL - FORNECIMENTO E INSTALAÇÃO. AF_11/2019</t>
  </si>
  <si>
    <t>TOMADA DE REDE RJ45 - FORNECIMENTO E INSTALAÇÃO. AF_11/2019</t>
  </si>
  <si>
    <t>FORNECIMENTO E INSTALAÇÃO DE PONTO DE TELEFONIA NO DORMITÓRIO</t>
  </si>
  <si>
    <t>FORNECIMENTO E INTALAÇÃO DE CABO ELETRÔNICO CATEGORIA 6, E TOMADA RJ45 NO DORMITÓRIO</t>
  </si>
  <si>
    <t>FORNEICMENTO E INSTLAÇÃO DE INSTLAÇÃO ELÉTRICA E CONDICIONADO DE AR 18MIL BTUs, NO DORMITÓRIO</t>
  </si>
  <si>
    <t>DISJUNTOR TIPO NEMA, BIPOLAR 10 ATE 50 A, TENSAO MAXIMA 415 V</t>
  </si>
  <si>
    <t>CABO DE COBRE, FLEXIVEL, CLASSE 4 OU 5, ISOLACAO EM PVC/A, ANTICHAMA BWF-B, COBERTURA PVC-ST1, ANTICHAMA BWF-B, 1 CONDUTOR, 0,6/1 KV, SECAO NOMINAL 6 MM2</t>
  </si>
  <si>
    <t>COMP. 01</t>
  </si>
  <si>
    <t>COMP.02</t>
  </si>
  <si>
    <t>COMP. 03</t>
  </si>
  <si>
    <t>COMP. 04</t>
  </si>
  <si>
    <t>COMP. 05</t>
  </si>
  <si>
    <t>COMP. 06</t>
  </si>
  <si>
    <t>COMP. 07</t>
  </si>
  <si>
    <t>COMP. 08</t>
  </si>
  <si>
    <t>COMP. 09</t>
  </si>
  <si>
    <t>COMP. 11</t>
  </si>
  <si>
    <t>COMP. 12</t>
  </si>
  <si>
    <t>COMP. 13</t>
  </si>
  <si>
    <t>COMP. 14</t>
  </si>
  <si>
    <t>COMP. 15</t>
  </si>
  <si>
    <t>COMP. 16</t>
  </si>
  <si>
    <t>COMP. 17</t>
  </si>
  <si>
    <t>COMP. 18</t>
  </si>
  <si>
    <t>COMP. 19</t>
  </si>
  <si>
    <t>COMP. 20</t>
  </si>
  <si>
    <t>COMP. 02</t>
  </si>
  <si>
    <t>COMP. 21</t>
  </si>
  <si>
    <t>PINTURA</t>
  </si>
  <si>
    <t>FORNECIMENTO E INSTLAÇÃO DE PONTO DE AGUA FRIA, TORNEIRA 3/4", SALA 02.</t>
  </si>
  <si>
    <t>COMP. 22</t>
  </si>
  <si>
    <t>PONTO DE AGUA</t>
  </si>
  <si>
    <t>TUBO, PVC, SOLDÁVEL, DN 25MM, INSTALADO EM RAMAL OU SUB-RAMAL DE ÁGUA - FORNECIMENTO E INSTALAÇÃO. AF_12/2014</t>
  </si>
  <si>
    <t>JOELHO 90 GRAUS, PVC, SOLDÁVEL, DN 25MM, INSTALADO EM RAMAL OU SUB-RAMAL DE ÁGUA - FORNECIMENTO E INSTALAÇÃO. AF_12/2014</t>
  </si>
  <si>
    <t>JOELHO 90 GRAUS COM BUCHA DE LATÃO, PVC, SOLDÁVEL, DN 25MM, X 3/4 INSTALADO EM RAMAL OU SUB-RAMAL DE ÁGUA - FORNECIMENTO E INSTALAÇÃO. AF_12/2014</t>
  </si>
  <si>
    <t>TE, PVC, SOLDÁVEL, DN 25MM, INSTALADO EM RAMAL OU SUB-RAMAL DE ÁGUA - FORNECIMENTO E INSTALAÇÃO. AF_12/2014</t>
  </si>
  <si>
    <t>RASGO EM ALVENARIA PARA RAMAIS/ DISTRIBUIÇÃO COM DIAMETROS MENORES OU IGUAIS A 40 MM. AF_05/2015</t>
  </si>
  <si>
    <t>CHUMBAMENTO LINEAR EM ALVENARIA PARA RAMAIS/DISTRIBUIÇÃO COM DIÂMETROS MENORES OU IGUAIS A 40 MM. AF_05/2015</t>
  </si>
  <si>
    <t>RASGO EM CONTRAPISO PARA RAMAIS/ DISTRIBUIÇÃO COM DIÂMETROS MAIORES QUE 40 MM E MENORES OU IGUAIS A 75 MM. AF_05/2015</t>
  </si>
  <si>
    <t>TORNEIRA PLÁSTICA 3/4 PARA TANQUE - FORNECIMENTO E INSTALAÇÃO. AF_01/2020</t>
  </si>
  <si>
    <t>COLETOR PREDIAL DE ESGOTO, DA CAIXA ATÉ A REDE (DISTÂNCIA = 10 M, LARGURA DA VALA = 0,65 M), INCLUINDO ESCAVAÇÃO MANUAL, PREPARO DE FUNDO DE VALA E REATERRO MANUAL COM COMPACTAÇÃO MECANIZADA, TUBO PVC P/ REDE COLETORA ESGOTO JEI DN 100 MM E CONEXÕES - FORNECIMENTO E INSTALAÇÃO. AF_03/2016</t>
  </si>
  <si>
    <t>REMOÇÃO DE INTERRUPTORES/TOMADAS ELÉTRICAS, DE FORMA MANUAL, SEM REAPROVEITAMENTO. AF_12/2017</t>
  </si>
  <si>
    <t>TOMADA MÉDIA DE EMBUTIR (1 MÓDULO), 2P+T 10 A, INCLUINDO SUPORTE E PLACA - FORNECIMENTO E INSTALAÇÃO. AF_12/2015</t>
  </si>
  <si>
    <t>AR CONDICIONADO SPLIT INVERTER, HI-WALL (PAREDE), 18000 BTU/H, CICLO FRIO, 60HZ, CLASSIFICACAO A - SELO PROCEL, GAS HFC, CONTROLE S/FIO</t>
  </si>
  <si>
    <t>FORNEICMENTO E INSTLAÇÃO DE INSTLAÇÃO ELÉTRICA E CONDICIONADO DE AR 18MIL BTUs, GUARITA</t>
  </si>
  <si>
    <t>ELETRODUTO PVC FLEXIVEL CORRUGADO, COR AMARELA, DE 25 MM</t>
  </si>
  <si>
    <t>CENTRO DE TREINAMENTO - CAMPO NOVO DO PARECIS</t>
  </si>
  <si>
    <t>Coef.</t>
  </si>
  <si>
    <t xml:space="preserve">ITEM </t>
  </si>
  <si>
    <t>DESCRIÇÃO</t>
  </si>
  <si>
    <t xml:space="preserve"> ÁREA</t>
  </si>
  <si>
    <t>RENDIMENTO</t>
  </si>
  <si>
    <t>TOTAL</t>
  </si>
  <si>
    <t>PAREDES INTERNAS</t>
  </si>
  <si>
    <t>PAREDES EXTERNAS</t>
  </si>
  <si>
    <t>EMASSAMENTO PVA</t>
  </si>
  <si>
    <t>PISO DE CONCRETO</t>
  </si>
  <si>
    <t>ESQUADRIAS MEÁLICAS</t>
  </si>
  <si>
    <t>TINTA ACRILICA - Lata 18 L</t>
  </si>
  <si>
    <t>MASSA PVA - Balde 25Kg</t>
  </si>
  <si>
    <t>TINTA PISO - Lata 18L</t>
  </si>
  <si>
    <t>TINTA ESMALTE SINTÉTICO - Lata 3,6L</t>
  </si>
  <si>
    <t>300m² / demão</t>
  </si>
  <si>
    <t>40m² / demão (50%)</t>
  </si>
  <si>
    <t>350m² / demão</t>
  </si>
  <si>
    <t>70m² / demão</t>
  </si>
  <si>
    <t>EXECUÇÃO DE DEPÓSITO EM CANTEIRO</t>
  </si>
  <si>
    <t>FORNECIMENTO E INSTALAÇÃO DE LUMINÁRIA DE EMBUTIR LUMINÁRIA PLAFON LED 25W EMBUTIR FORRO QUADRADO BRANCO FRIO</t>
  </si>
  <si>
    <t>FORNEICMENTO E INSTLAÇÃO DE INSTLAÇÃO ELÉTRICA PARA CONDICIONADOR DE AR 24MIL BTUs, ALOJANEMTO</t>
  </si>
  <si>
    <t>FORNECIMENTO E INSTALAÇÃO DE VIDRO LISO FUME, E=6MM, EM ESQUADRIA DE ALUMÍNIO OU PVC, FIZADO COM BAGUETE: AF_01/2021_P</t>
  </si>
  <si>
    <t>COMP. 23</t>
  </si>
  <si>
    <t>ESPUMA EXPANSIVA DE POLIURETANO, APLICACAO MANUAL - 500 ML</t>
  </si>
  <si>
    <t>REPARO DE JUNTAS DE MOVIMENTAÇÃO COM ARGAMASSA BASE CIMENTO MODIFICADA COM POLIMEROS, E=2,5CM - TCPO13 03933.8.3.1</t>
  </si>
  <si>
    <t>ARGAMASSA POLIMERICA DE REPARO ESTRUTURAL, BICOMPONENTE</t>
  </si>
  <si>
    <t>SPDA</t>
  </si>
  <si>
    <t>7.3</t>
  </si>
  <si>
    <t>7.4</t>
  </si>
  <si>
    <t>REMOÇÃO DE VIDRO LISO COMUM DE ESQUADRIA COM BAGUETE DE ALUMÍNIO OU PVC. AF_01/2021</t>
  </si>
  <si>
    <t>CORDOALHA DE COBRE NU 50 MM², NÃO ENTERRADA, COM ISOLADOR - FORNECIMENTO E INSTALAÇÃO. AF_12/2017</t>
  </si>
  <si>
    <t>ELETRODUTO PVC 40MM (1 ¼ ) PARA SPDA - FORNECIMENTO E INSTALAÇÃO. AF_12/2017</t>
  </si>
  <si>
    <t>HASTE DE ATERRAMENTO 5/8 PARA SPDA - FORNECIMENTO E INSTALAÇÃO. AF_12/2017</t>
  </si>
  <si>
    <t>BASE METÁLICA PARA MASTRO 1 ½ PARA SPDA - FORNECIMENTO E INSTALAÇÃO.AF_12/2017</t>
  </si>
  <si>
    <t>MASTRO 1 ½ PARA SPDA - FORNECIMENTO E INSTALAÇÃO. AF_12/2017</t>
  </si>
  <si>
    <t>CAPTOR TIPO FRANKLIN PARA SPDA - FORNECIMENTO E INSTALAÇÃO. AF_12/2017</t>
  </si>
  <si>
    <t>SUPORTE ISOLADOR PARA CORDOALHA DE COBRE - FORNECIMENTO E,INSTALAÇÃO. AF_12/2017</t>
  </si>
  <si>
    <t>CAIXA DE INSPEÇÃO PARA ATERRAMENTO, CIRCULAR, EM POLIETILENO, DIÂMETRO INTERNO = 0,3 M. AF_12/2020</t>
  </si>
  <si>
    <t>NAL A COMPRESSAO EM COBRE ESTANHADO PARA CABO 50 MM2, 1 FURO E 1COMPRESSAO, PARA PARAFUSO DE FIXACAO M8</t>
  </si>
  <si>
    <t>BARRA CHATA EM ALUMINIO 3/4 " X 1/4 " X 300 MM</t>
  </si>
  <si>
    <t>8.1</t>
  </si>
  <si>
    <t>8.2</t>
  </si>
  <si>
    <t>8.3</t>
  </si>
  <si>
    <t>8.4</t>
  </si>
  <si>
    <t>8.5</t>
  </si>
  <si>
    <t>8.6</t>
  </si>
  <si>
    <t>8.7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</si>
  <si>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</si>
  <si>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</si>
  <si>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</si>
  <si>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</si>
  <si>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</si>
  <si>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</si>
  <si>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</si>
  <si>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</si>
  <si>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</si>
  <si>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</si>
  <si>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</si>
  <si>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</si>
  <si>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</si>
  <si>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</si>
  <si>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</si>
  <si>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</si>
  <si>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</si>
  <si>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</si>
  <si>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</si>
  <si>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</si>
  <si>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11.1</t>
  </si>
  <si>
    <t>11.2</t>
  </si>
  <si>
    <t>4.4</t>
  </si>
  <si>
    <t>4.5</t>
  </si>
  <si>
    <t>5.3</t>
  </si>
  <si>
    <r>
      <t>Bandeja Plástica</t>
    </r>
    <r>
      <rPr>
        <sz val="11"/>
        <color rgb="FF000000"/>
        <rFont val="Arial"/>
        <family val="2"/>
      </rPr>
      <t xml:space="preserve"> para Pintura em material Flexível, 1000ml, resistente a solventes.</t>
    </r>
  </si>
  <si>
    <r>
      <t>Espátula de Aço – 6 cm – Lisa</t>
    </r>
    <r>
      <rPr>
        <sz val="11"/>
        <color rgb="FF000000"/>
        <rFont val="Arial"/>
        <family val="2"/>
      </rPr>
      <t xml:space="preserve"> – Aço encruado 1020 – Cabo Plástico Famastil  ergonômico – Raspagem de tinta e cimento – Aplicação de massa corrida, gesso e rejunte</t>
    </r>
  </si>
  <si>
    <r>
      <t>Pincel para Pintura 3" c/ Cabo</t>
    </r>
    <r>
      <rPr>
        <sz val="11"/>
        <color rgb="FF000000"/>
        <rFont val="Arial"/>
        <family val="2"/>
      </rPr>
      <t>, cerda Tipo Gris</t>
    </r>
  </si>
  <si>
    <r>
      <t>Rolo Textura s/ cabo</t>
    </r>
    <r>
      <rPr>
        <sz val="11"/>
        <color rgb="FF000000"/>
        <rFont val="Arial"/>
        <family val="2"/>
      </rPr>
      <t>, pelo baixo, cerdas em Nylon, cor branca, 230x25mm</t>
    </r>
  </si>
  <si>
    <r>
      <t>Rolo Textura c/ cabo</t>
    </r>
    <r>
      <rPr>
        <sz val="11"/>
        <color rgb="FF000000"/>
        <rFont val="Arial"/>
        <family val="2"/>
      </rPr>
      <t>, pelo baixo, cerdas em Nylon, cor branca, 230x25mm</t>
    </r>
  </si>
  <si>
    <r>
      <t>Rolo Lã de Carneiro s/ cabo ,</t>
    </r>
    <r>
      <rPr>
        <sz val="11"/>
        <color rgb="FF000000"/>
        <rFont val="Arial"/>
        <family val="2"/>
      </rPr>
      <t xml:space="preserve"> para pintura Acrílica, antigotas, cor branca, 230x25mm</t>
    </r>
  </si>
  <si>
    <r>
      <t>Rolo Lã de Carneiro c/ cabo,</t>
    </r>
    <r>
      <rPr>
        <sz val="11"/>
        <color rgb="FF000000"/>
        <rFont val="Arial"/>
        <family val="2"/>
      </rPr>
      <t xml:space="preserve"> para pintura Acrílica, antigotas, cor branca, 230x25mm</t>
    </r>
  </si>
  <si>
    <r>
      <t>Folha de Lixa Manual</t>
    </r>
    <r>
      <rPr>
        <sz val="11"/>
        <color rgb="FF000000"/>
        <rFont val="Arial"/>
        <family val="2"/>
      </rPr>
      <t xml:space="preserve">, 150 grãos,  para Massa e Parede </t>
    </r>
  </si>
  <si>
    <r>
      <t xml:space="preserve">Tinta Textura de grãos finos (liso) </t>
    </r>
    <r>
      <rPr>
        <sz val="11"/>
        <color rgb="FF000000"/>
        <rFont val="Arial"/>
        <family val="2"/>
      </rPr>
      <t>1° Lina, 18L.</t>
    </r>
  </si>
  <si>
    <r>
      <t>Massa niveladora Acrílica</t>
    </r>
    <r>
      <rPr>
        <sz val="11"/>
        <color rgb="FF000000"/>
        <rFont val="Arial"/>
        <family val="2"/>
      </rPr>
      <t>, 25Kg, cor Branca, rendimento superior à 40m² (Ambientes Externos)</t>
    </r>
  </si>
  <si>
    <r>
      <t>Massa niveladora PVA</t>
    </r>
    <r>
      <rPr>
        <sz val="11"/>
        <color rgb="FF000000"/>
        <rFont val="Arial"/>
        <family val="2"/>
      </rPr>
      <t>, 25Kg, cor Branca, rendimento superior à 40m² (Ambientes Internos)</t>
    </r>
  </si>
  <si>
    <r>
      <t>Pacote de Estopa Multiuso</t>
    </r>
    <r>
      <rPr>
        <sz val="11"/>
        <color rgb="FF000000"/>
        <rFont val="Arial"/>
        <family val="2"/>
      </rPr>
      <t>, 150g.</t>
    </r>
  </si>
  <si>
    <r>
      <t>Tinta Acrílica Piso Fosca</t>
    </r>
    <r>
      <rPr>
        <sz val="11"/>
        <color rgb="FF000000"/>
        <rFont val="Arial"/>
        <family val="2"/>
      </rPr>
      <t xml:space="preserve"> 1° Linha, 18L, cor Cinza Média, categoria Premium, rendimento superior à 45m² por demão.</t>
    </r>
  </si>
  <si>
    <r>
      <t>Diluente Solvente Aguarrás</t>
    </r>
    <r>
      <rPr>
        <sz val="11"/>
        <color rgb="FF000000"/>
        <rFont val="Arial"/>
        <family val="2"/>
      </rPr>
      <t xml:space="preserve"> 1° linha, 18L.</t>
    </r>
  </si>
  <si>
    <r>
      <t xml:space="preserve">Tinta Esmalte Sintético </t>
    </r>
    <r>
      <rPr>
        <sz val="11"/>
        <color rgb="FF000000"/>
        <rFont val="Arial"/>
        <family val="2"/>
      </rPr>
      <t>1° Linha, 18L, Branco Neve, categoria Premium, rendimento superior à 300m² por demão.</t>
    </r>
  </si>
  <si>
    <r>
      <t xml:space="preserve">Tinta Acrílica Acetinada </t>
    </r>
    <r>
      <rPr>
        <sz val="11"/>
        <color rgb="FF000000"/>
        <rFont val="Arial"/>
        <family val="2"/>
      </rPr>
      <t>1° Linha, 18L, cor Branca, categoria Premium, rendimento superior à 300m² por demão.</t>
    </r>
  </si>
  <si>
    <r>
      <t xml:space="preserve">Tinta Látex </t>
    </r>
    <r>
      <rPr>
        <sz val="11"/>
        <color rgb="FF000000"/>
        <rFont val="Arial"/>
        <family val="2"/>
      </rPr>
      <t>1° Linha, 18L, cor Branca, categoria Premium, redimento superior à 320m² por demão.</t>
    </r>
  </si>
  <si>
    <r>
      <t xml:space="preserve">Tinta Acrílica Fosca </t>
    </r>
    <r>
      <rPr>
        <sz val="11"/>
        <color rgb="FF000000"/>
        <rFont val="Arial"/>
        <family val="2"/>
      </rPr>
      <t>1° Linha, 18L, cor Branca, categoria Premium, rendimento superior à 300m² por demão.</t>
    </r>
  </si>
  <si>
    <t>LICITADO</t>
  </si>
  <si>
    <t>Quantidade</t>
  </si>
  <si>
    <t>Orçado</t>
  </si>
  <si>
    <t xml:space="preserve">Descrição </t>
  </si>
  <si>
    <t>Centro de Treinamento Sorriso</t>
  </si>
  <si>
    <t>Local</t>
  </si>
  <si>
    <t>Centro de Treinamento Campo Novo do Parecis</t>
  </si>
  <si>
    <t>LOTE 02</t>
  </si>
  <si>
    <t xml:space="preserve">LOTE 01 </t>
  </si>
  <si>
    <t>PLANILHA - QUANTITATIVO DE PINTURA DOS CENTROS DE TREINAMENTO</t>
  </si>
  <si>
    <t>Ref.: SINAPI Desonerada 01/2022</t>
  </si>
  <si>
    <t>OBRA:</t>
  </si>
  <si>
    <t>REFORMA e ADEQUAÇÃO</t>
  </si>
  <si>
    <t>REF.:</t>
  </si>
  <si>
    <t>SINAPI-MT
DES_JAN/2022</t>
  </si>
  <si>
    <t>ENDEREÇO:</t>
  </si>
  <si>
    <t>MUNICÍPIO:</t>
  </si>
  <si>
    <t>BDI:</t>
  </si>
  <si>
    <t>ASSUNTO:</t>
  </si>
  <si>
    <t>4.0</t>
  </si>
  <si>
    <t>5.0</t>
  </si>
  <si>
    <t>6.0</t>
  </si>
  <si>
    <t>7.0</t>
  </si>
  <si>
    <t>8.0</t>
  </si>
  <si>
    <t>9.0</t>
  </si>
  <si>
    <t>10.0</t>
  </si>
  <si>
    <t>BR-364, Zona Rural do Município de Campo Novo do Parecis-MT</t>
  </si>
  <si>
    <t>CAMPO NOVO DO PARECIS-MTMT</t>
  </si>
  <si>
    <t>Reforma e Adequação do CT de CNP-MT</t>
  </si>
  <si>
    <t>Ref.: SINAPI Desonerada 02/2022</t>
  </si>
  <si>
    <t>Valor Unitário C/ BDI 28,35%</t>
  </si>
  <si>
    <t>8.8</t>
  </si>
  <si>
    <t>8.9</t>
  </si>
  <si>
    <t>8.10</t>
  </si>
  <si>
    <t>8.11</t>
  </si>
  <si>
    <t>LUMINARIA LED REFLETOR RETANGULAR BIVOLT, LUZ BRANCA, 300 W</t>
  </si>
  <si>
    <t>COMP. 24</t>
  </si>
  <si>
    <t>11.0</t>
  </si>
  <si>
    <t>CRONOGRAMA FÍSICO FINANCEIRO</t>
  </si>
  <si>
    <t>ITEM</t>
  </si>
  <si>
    <t>ETAPA</t>
  </si>
  <si>
    <t>VL. TOTAL</t>
  </si>
  <si>
    <t>%</t>
  </si>
  <si>
    <t>30 DIAS</t>
  </si>
  <si>
    <t>60 DIAS</t>
  </si>
  <si>
    <t>Acumulado Total</t>
  </si>
  <si>
    <t>VALOR TOTAL</t>
  </si>
  <si>
    <t>VALOR ACUMULADO</t>
  </si>
  <si>
    <t>BDI</t>
  </si>
  <si>
    <t>DISCRIMINAÇÃO</t>
  </si>
  <si>
    <t>PERCENTUAL
(%)</t>
  </si>
  <si>
    <t>MAX</t>
  </si>
  <si>
    <t>MIN</t>
  </si>
  <si>
    <t>Administração Central</t>
  </si>
  <si>
    <t>Despesas Financeiras</t>
  </si>
  <si>
    <t>1.3</t>
  </si>
  <si>
    <t>Riscos</t>
  </si>
  <si>
    <t>1.4</t>
  </si>
  <si>
    <t>Seguros e Garantias</t>
  </si>
  <si>
    <t>LUCRO</t>
  </si>
  <si>
    <t>Lucro Operacional</t>
  </si>
  <si>
    <t>TRIBUTOS</t>
  </si>
  <si>
    <t>**ISS</t>
  </si>
  <si>
    <t>Cofins</t>
  </si>
  <si>
    <t>Pis</t>
  </si>
  <si>
    <t>Contribuição Previdênciária - Lei N° 13161/2015</t>
  </si>
  <si>
    <t>**ISS - Repassado pelo município</t>
  </si>
  <si>
    <t xml:space="preserve">Fórmula e parâmetros estabelecidos pelo Acórdão 2622/2013-TCU-Plenário (contemplando) 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</si>
  <si>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</si>
  <si>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</si>
  <si>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</si>
  <si>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</si>
  <si>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>SINAPI-MT
DES_FEV/2022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</si>
</sst>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\ * #,##0.000000000_-;\-[$R$-416]\ * #,##0.000000000_-;_-[$R$-416]\ * &quot;-&quot;??_-;_-@_-"/>
    <numFmt numFmtId="166" formatCode="_(&quot;R$ &quot;* #,##0.00_);_(&quot;R$ &quot;* \(#,##0.00\);_(&quot;R$ &quot;* &quot;-&quot;??_);_(@_)"/>
    <numFmt numFmtId="167" formatCode="0.0000"/>
    <numFmt numFmtId="168" formatCode="_-&quot;R$&quot;* #,##0.00_-;\-&quot;R$&quot;* #,##0.00_-;_-&quot;R$&quot;* &quot;-&quot;??_-;_-@_-"/>
    <numFmt numFmtId="169" formatCode="0.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b/>
      <sz val="16"/>
      <name val="Arial"/>
      <family val="2"/>
    </font>
    <font>
      <sz val="10"/>
      <color rgb="FF92D050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2"/>
      <color indexed="8"/>
      <name val="Calibri"/>
      <family val="2"/>
    </font>
    <font>
      <sz val="1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7" fillId="0" borderId="0"/>
  </cellStyleXfs>
  <cellXfs count="42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4" fontId="4" fillId="2" borderId="1" xfId="4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4" fillId="2" borderId="1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4" fontId="5" fillId="2" borderId="1" xfId="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4" fontId="4" fillId="0" borderId="1" xfId="4" applyFont="1" applyBorder="1" applyAlignment="1">
      <alignment horizontal="center" vertical="center"/>
    </xf>
    <xf numFmtId="44" fontId="6" fillId="0" borderId="1" xfId="4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4" fontId="5" fillId="0" borderId="1" xfId="4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4" fontId="9" fillId="2" borderId="1" xfId="13" applyFont="1" applyFill="1" applyBorder="1" applyAlignment="1">
      <alignment horizontal="center" vertical="center"/>
    </xf>
    <xf numFmtId="0" fontId="10" fillId="2" borderId="0" xfId="0" applyFont="1" applyFill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44" fontId="11" fillId="0" borderId="1" xfId="13" applyFont="1" applyBorder="1" applyAlignment="1">
      <alignment horizontal="left" vertical="center"/>
    </xf>
    <xf numFmtId="44" fontId="10" fillId="0" borderId="1" xfId="13" applyFont="1" applyBorder="1" applyAlignment="1">
      <alignment vertical="center"/>
    </xf>
    <xf numFmtId="44" fontId="10" fillId="0" borderId="0" xfId="0" applyNumberFormat="1" applyFont="1"/>
    <xf numFmtId="0" fontId="10" fillId="0" borderId="0" xfId="0" applyFont="1"/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0" xfId="0" applyFont="1"/>
    <xf numFmtId="44" fontId="6" fillId="0" borderId="0" xfId="4" applyFont="1" applyAlignment="1">
      <alignment horizontal="right"/>
    </xf>
    <xf numFmtId="0" fontId="6" fillId="0" borderId="1" xfId="0" applyFont="1" applyBorder="1" applyAlignment="1">
      <alignment wrapText="1"/>
    </xf>
    <xf numFmtId="44" fontId="5" fillId="2" borderId="1" xfId="4" applyFont="1" applyFill="1" applyBorder="1" applyAlignment="1">
      <alignment vertical="center"/>
    </xf>
    <xf numFmtId="44" fontId="6" fillId="0" borderId="1" xfId="4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4" fontId="10" fillId="2" borderId="1" xfId="4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4" fontId="9" fillId="2" borderId="1" xfId="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vertical="center"/>
    </xf>
    <xf numFmtId="44" fontId="5" fillId="0" borderId="1" xfId="4" applyFont="1" applyBorder="1" applyAlignment="1">
      <alignment vertical="center"/>
    </xf>
    <xf numFmtId="44" fontId="5" fillId="0" borderId="1" xfId="4" applyFont="1" applyBorder="1"/>
    <xf numFmtId="0" fontId="4" fillId="2" borderId="1" xfId="0" applyFont="1" applyFill="1" applyBorder="1" applyAlignment="1">
      <alignment horizontal="left" vertical="center" wrapText="1"/>
    </xf>
    <xf numFmtId="44" fontId="4" fillId="2" borderId="1" xfId="4" applyFont="1" applyFill="1" applyBorder="1" applyAlignment="1">
      <alignment vertical="center"/>
    </xf>
    <xf numFmtId="44" fontId="4" fillId="2" borderId="1" xfId="4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4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2" fontId="1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18" fillId="3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4" fontId="19" fillId="2" borderId="1" xfId="4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4" fontId="20" fillId="2" borderId="1" xfId="4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/>
    </xf>
    <xf numFmtId="44" fontId="19" fillId="4" borderId="1" xfId="4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167" fontId="14" fillId="0" borderId="1" xfId="0" applyNumberFormat="1" applyFont="1" applyBorder="1" applyAlignment="1">
      <alignment horizontal="center" vertical="center"/>
    </xf>
    <xf numFmtId="167" fontId="20" fillId="0" borderId="0" xfId="0" applyNumberFormat="1" applyFont="1" applyAlignment="1">
      <alignment vertical="center"/>
    </xf>
    <xf numFmtId="167" fontId="6" fillId="0" borderId="1" xfId="0" applyNumberFormat="1" applyFont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44" fontId="6" fillId="0" borderId="0" xfId="4" applyFont="1" applyAlignment="1">
      <alignment horizontal="righ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20" fillId="0" borderId="0" xfId="0" quotePrefix="1" applyFont="1" applyAlignment="1">
      <alignment vertical="center" wrapText="1"/>
    </xf>
    <xf numFmtId="2" fontId="10" fillId="2" borderId="1" xfId="4" applyNumberFormat="1" applyFont="1" applyFill="1" applyBorder="1" applyAlignment="1">
      <alignment horizontal="center" vertical="center"/>
    </xf>
    <xf numFmtId="44" fontId="11" fillId="0" borderId="1" xfId="4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9" fontId="2" fillId="2" borderId="8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center" vertical="center"/>
    </xf>
    <xf numFmtId="164" fontId="18" fillId="2" borderId="17" xfId="0" applyNumberFormat="1" applyFont="1" applyFill="1" applyBorder="1" applyAlignment="1">
      <alignment horizontal="center" vertical="center"/>
    </xf>
    <xf numFmtId="164" fontId="18" fillId="2" borderId="17" xfId="0" applyNumberFormat="1" applyFont="1" applyFill="1" applyBorder="1" applyAlignment="1">
      <alignment horizontal="center" vertical="center" wrapText="1"/>
    </xf>
    <xf numFmtId="164" fontId="18" fillId="2" borderId="15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4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164" fontId="2" fillId="2" borderId="5" xfId="4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44" fontId="2" fillId="2" borderId="1" xfId="4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Fill="1" applyBorder="1" applyAlignment="1">
      <alignment horizontal="center" vertical="center"/>
    </xf>
    <xf numFmtId="164" fontId="2" fillId="2" borderId="1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4" fontId="2" fillId="0" borderId="1" xfId="4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44" fontId="19" fillId="0" borderId="0" xfId="4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44" fontId="21" fillId="2" borderId="1" xfId="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right" vertical="center"/>
    </xf>
    <xf numFmtId="164" fontId="18" fillId="0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/>
    </xf>
    <xf numFmtId="9" fontId="12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/>
    </xf>
    <xf numFmtId="164" fontId="18" fillId="0" borderId="2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165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right" vertical="center"/>
    </xf>
    <xf numFmtId="0" fontId="28" fillId="2" borderId="16" xfId="0" applyFont="1" applyFill="1" applyBorder="1" applyAlignment="1">
      <alignment horizontal="right" vertical="center"/>
    </xf>
    <xf numFmtId="0" fontId="28" fillId="2" borderId="18" xfId="0" applyFont="1" applyFill="1" applyBorder="1" applyAlignment="1">
      <alignment horizontal="right" vertical="center"/>
    </xf>
    <xf numFmtId="164" fontId="28" fillId="2" borderId="17" xfId="0" applyNumberFormat="1" applyFont="1" applyFill="1" applyBorder="1" applyAlignment="1">
      <alignment horizontal="center" vertical="center"/>
    </xf>
    <xf numFmtId="164" fontId="28" fillId="2" borderId="18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10" fontId="27" fillId="0" borderId="1" xfId="26" applyNumberFormat="1" applyFont="1" applyBorder="1" applyAlignment="1">
      <alignment horizontal="center" vertical="center" shrinkToFi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right" vertical="center"/>
    </xf>
    <xf numFmtId="0" fontId="15" fillId="2" borderId="16" xfId="0" applyFont="1" applyFill="1" applyBorder="1" applyAlignment="1">
      <alignment horizontal="right" vertical="center"/>
    </xf>
    <xf numFmtId="0" fontId="15" fillId="2" borderId="18" xfId="0" applyFont="1" applyFill="1" applyBorder="1" applyAlignment="1">
      <alignment horizontal="right" vertical="center"/>
    </xf>
    <xf numFmtId="164" fontId="15" fillId="2" borderId="17" xfId="0" applyNumberFormat="1" applyFont="1" applyFill="1" applyBorder="1" applyAlignment="1">
      <alignment horizontal="center" vertical="center"/>
    </xf>
    <xf numFmtId="164" fontId="15" fillId="2" borderId="18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right" vertical="center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8" fillId="4" borderId="29" xfId="0" applyFont="1" applyFill="1" applyBorder="1" applyAlignment="1">
      <alignment horizontal="center" vertical="center"/>
    </xf>
    <xf numFmtId="0" fontId="28" fillId="4" borderId="30" xfId="0" applyFont="1" applyFill="1" applyBorder="1" applyAlignment="1">
      <alignment horizontal="center" vertical="center" wrapText="1"/>
    </xf>
    <xf numFmtId="164" fontId="28" fillId="4" borderId="3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right" vertical="center"/>
    </xf>
    <xf numFmtId="0" fontId="29" fillId="4" borderId="2" xfId="0" applyFont="1" applyFill="1" applyBorder="1" applyAlignment="1">
      <alignment horizontal="right" vertical="center"/>
    </xf>
    <xf numFmtId="0" fontId="29" fillId="4" borderId="3" xfId="0" applyFont="1" applyFill="1" applyBorder="1" applyAlignment="1">
      <alignment horizontal="right" vertical="center"/>
    </xf>
    <xf numFmtId="44" fontId="29" fillId="4" borderId="4" xfId="4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6" xfId="27" applyFont="1" applyBorder="1" applyAlignment="1">
      <alignment horizontal="center" vertical="center"/>
    </xf>
    <xf numFmtId="0" fontId="31" fillId="0" borderId="7" xfId="27" applyFont="1" applyBorder="1" applyAlignment="1">
      <alignment horizontal="center" vertical="center"/>
    </xf>
    <xf numFmtId="0" fontId="31" fillId="0" borderId="12" xfId="27" applyFont="1" applyBorder="1" applyAlignment="1">
      <alignment horizontal="center" vertical="center"/>
    </xf>
    <xf numFmtId="0" fontId="31" fillId="0" borderId="0" xfId="27" applyFont="1" applyAlignment="1">
      <alignment vertical="center"/>
    </xf>
    <xf numFmtId="0" fontId="32" fillId="0" borderId="0" xfId="27" applyFont="1" applyAlignment="1">
      <alignment vertical="center"/>
    </xf>
    <xf numFmtId="0" fontId="31" fillId="0" borderId="8" xfId="27" applyFont="1" applyBorder="1" applyAlignment="1">
      <alignment horizontal="center" vertical="center"/>
    </xf>
    <xf numFmtId="0" fontId="31" fillId="0" borderId="0" xfId="27" applyFont="1" applyBorder="1" applyAlignment="1">
      <alignment horizontal="center" vertical="center"/>
    </xf>
    <xf numFmtId="0" fontId="31" fillId="0" borderId="13" xfId="27" applyFont="1" applyBorder="1" applyAlignment="1">
      <alignment horizontal="center" vertical="center"/>
    </xf>
    <xf numFmtId="0" fontId="31" fillId="0" borderId="9" xfId="27" applyFont="1" applyBorder="1" applyAlignment="1">
      <alignment horizontal="center" vertical="center"/>
    </xf>
    <xf numFmtId="0" fontId="31" fillId="0" borderId="10" xfId="27" applyFont="1" applyBorder="1" applyAlignment="1">
      <alignment horizontal="center" vertical="center"/>
    </xf>
    <xf numFmtId="0" fontId="31" fillId="0" borderId="14" xfId="27" applyFont="1" applyBorder="1" applyAlignment="1">
      <alignment horizontal="center" vertical="center"/>
    </xf>
    <xf numFmtId="0" fontId="31" fillId="0" borderId="0" xfId="27" applyFont="1" applyBorder="1" applyAlignment="1">
      <alignment vertical="center"/>
    </xf>
    <xf numFmtId="0" fontId="26" fillId="0" borderId="24" xfId="0" applyFont="1" applyBorder="1" applyAlignment="1">
      <alignment horizontal="left" vertical="center" wrapText="1"/>
    </xf>
    <xf numFmtId="0" fontId="33" fillId="0" borderId="22" xfId="27" applyFont="1" applyBorder="1" applyAlignment="1">
      <alignment horizontal="center" vertical="center"/>
    </xf>
    <xf numFmtId="0" fontId="33" fillId="0" borderId="15" xfId="27" applyFont="1" applyBorder="1" applyAlignment="1">
      <alignment horizontal="center" vertical="center" wrapText="1"/>
    </xf>
    <xf numFmtId="0" fontId="34" fillId="0" borderId="0" xfId="27" applyFont="1" applyBorder="1" applyAlignment="1">
      <alignment vertical="center"/>
    </xf>
    <xf numFmtId="0" fontId="34" fillId="0" borderId="0" xfId="27" applyFont="1" applyAlignment="1">
      <alignment vertical="center"/>
    </xf>
    <xf numFmtId="0" fontId="33" fillId="0" borderId="32" xfId="27" applyFont="1" applyBorder="1" applyAlignment="1">
      <alignment horizontal="center" vertical="center"/>
    </xf>
    <xf numFmtId="10" fontId="33" fillId="0" borderId="15" xfId="27" applyNumberFormat="1" applyFont="1" applyBorder="1" applyAlignment="1">
      <alignment horizontal="center" vertical="center"/>
    </xf>
    <xf numFmtId="0" fontId="35" fillId="0" borderId="6" xfId="27" applyFont="1" applyBorder="1" applyAlignment="1">
      <alignment horizontal="center" vertical="center"/>
    </xf>
    <xf numFmtId="0" fontId="35" fillId="0" borderId="7" xfId="27" applyFont="1" applyBorder="1" applyAlignment="1">
      <alignment horizontal="center" vertical="center"/>
    </xf>
    <xf numFmtId="0" fontId="35" fillId="0" borderId="20" xfId="27" applyFont="1" applyBorder="1" applyAlignment="1">
      <alignment horizontal="center" vertical="center"/>
    </xf>
    <xf numFmtId="0" fontId="35" fillId="0" borderId="23" xfId="27" applyFont="1" applyBorder="1" applyAlignment="1">
      <alignment horizontal="center" vertical="center"/>
    </xf>
    <xf numFmtId="0" fontId="35" fillId="0" borderId="0" xfId="27" applyFont="1" applyBorder="1" applyAlignment="1">
      <alignment vertical="center"/>
    </xf>
    <xf numFmtId="0" fontId="32" fillId="0" borderId="0" xfId="27" applyFont="1" applyAlignment="1">
      <alignment horizontal="center" vertical="center"/>
    </xf>
    <xf numFmtId="0" fontId="35" fillId="5" borderId="29" xfId="27" applyFont="1" applyFill="1" applyBorder="1" applyAlignment="1">
      <alignment horizontal="center" vertical="center"/>
    </xf>
    <xf numFmtId="0" fontId="35" fillId="5" borderId="30" xfId="27" applyFont="1" applyFill="1" applyBorder="1" applyAlignment="1">
      <alignment horizontal="center" vertical="center"/>
    </xf>
    <xf numFmtId="0" fontId="35" fillId="5" borderId="31" xfId="27" applyFont="1" applyFill="1" applyBorder="1" applyAlignment="1">
      <alignment horizontal="center" vertical="center"/>
    </xf>
    <xf numFmtId="0" fontId="35" fillId="5" borderId="4" xfId="27" applyFont="1" applyFill="1" applyBorder="1" applyAlignment="1">
      <alignment horizontal="center" vertical="center" wrapText="1"/>
    </xf>
    <xf numFmtId="0" fontId="35" fillId="5" borderId="25" xfId="27" applyFont="1" applyFill="1" applyBorder="1" applyAlignment="1">
      <alignment horizontal="center" vertical="center"/>
    </xf>
    <xf numFmtId="0" fontId="32" fillId="0" borderId="0" xfId="27" applyFont="1" applyBorder="1" applyAlignment="1">
      <alignment vertical="center"/>
    </xf>
    <xf numFmtId="0" fontId="33" fillId="0" borderId="24" xfId="27" applyFont="1" applyBorder="1" applyAlignment="1">
      <alignment horizontal="center" vertical="center"/>
    </xf>
    <xf numFmtId="0" fontId="33" fillId="0" borderId="1" xfId="27" applyFont="1" applyBorder="1" applyAlignment="1">
      <alignment horizontal="left" vertical="center"/>
    </xf>
    <xf numFmtId="168" fontId="34" fillId="0" borderId="1" xfId="27" applyNumberFormat="1" applyFont="1" applyBorder="1" applyAlignment="1">
      <alignment horizontal="right" vertical="center"/>
    </xf>
    <xf numFmtId="10" fontId="34" fillId="0" borderId="25" xfId="27" applyNumberFormat="1" applyFont="1" applyBorder="1" applyAlignment="1">
      <alignment horizontal="center" vertical="center"/>
    </xf>
    <xf numFmtId="168" fontId="34" fillId="0" borderId="24" xfId="27" applyNumberFormat="1" applyFont="1" applyBorder="1" applyAlignment="1">
      <alignment horizontal="right" vertical="center"/>
    </xf>
    <xf numFmtId="169" fontId="36" fillId="0" borderId="25" xfId="27" applyNumberFormat="1" applyFont="1" applyBorder="1" applyAlignment="1">
      <alignment horizontal="center" vertical="center"/>
    </xf>
    <xf numFmtId="44" fontId="36" fillId="0" borderId="4" xfId="4" applyFont="1" applyBorder="1" applyAlignment="1">
      <alignment horizontal="center" vertical="center"/>
    </xf>
    <xf numFmtId="9" fontId="34" fillId="0" borderId="25" xfId="27" applyNumberFormat="1" applyFont="1" applyBorder="1" applyAlignment="1">
      <alignment horizontal="center" vertical="center"/>
    </xf>
    <xf numFmtId="9" fontId="36" fillId="0" borderId="25" xfId="27" applyNumberFormat="1" applyFont="1" applyBorder="1" applyAlignment="1">
      <alignment horizontal="center" vertical="center"/>
    </xf>
    <xf numFmtId="0" fontId="33" fillId="0" borderId="24" xfId="27" applyFont="1" applyBorder="1" applyAlignment="1">
      <alignment horizontal="center" vertical="center"/>
    </xf>
    <xf numFmtId="0" fontId="33" fillId="0" borderId="1" xfId="27" applyFont="1" applyBorder="1" applyAlignment="1">
      <alignment horizontal="center" vertical="center"/>
    </xf>
    <xf numFmtId="168" fontId="36" fillId="0" borderId="24" xfId="27" applyNumberFormat="1" applyFont="1" applyBorder="1" applyAlignment="1">
      <alignment horizontal="right" vertical="center"/>
    </xf>
    <xf numFmtId="10" fontId="36" fillId="0" borderId="25" xfId="27" applyNumberFormat="1" applyFont="1" applyBorder="1" applyAlignment="1">
      <alignment horizontal="center" vertical="center"/>
    </xf>
    <xf numFmtId="44" fontId="26" fillId="0" borderId="33" xfId="27" applyNumberFormat="1" applyFont="1" applyBorder="1" applyAlignment="1">
      <alignment horizontal="center" vertical="center"/>
    </xf>
    <xf numFmtId="10" fontId="33" fillId="0" borderId="34" xfId="27" applyNumberFormat="1" applyFont="1" applyBorder="1" applyAlignment="1">
      <alignment horizontal="center" vertical="center"/>
    </xf>
    <xf numFmtId="0" fontId="33" fillId="0" borderId="26" xfId="27" applyFont="1" applyBorder="1" applyAlignment="1">
      <alignment horizontal="center" vertical="center"/>
    </xf>
    <xf numFmtId="0" fontId="33" fillId="0" borderId="27" xfId="27" applyFont="1" applyBorder="1" applyAlignment="1">
      <alignment horizontal="center" vertical="center"/>
    </xf>
    <xf numFmtId="168" fontId="34" fillId="0" borderId="27" xfId="27" applyNumberFormat="1" applyFont="1" applyBorder="1" applyAlignment="1">
      <alignment horizontal="center" vertical="center"/>
    </xf>
    <xf numFmtId="0" fontId="34" fillId="0" borderId="28" xfId="27" applyFont="1" applyBorder="1" applyAlignment="1">
      <alignment vertical="center"/>
    </xf>
    <xf numFmtId="168" fontId="34" fillId="0" borderId="26" xfId="27" applyNumberFormat="1" applyFont="1" applyBorder="1" applyAlignment="1">
      <alignment vertical="center"/>
    </xf>
    <xf numFmtId="10" fontId="34" fillId="0" borderId="28" xfId="27" applyNumberFormat="1" applyFont="1" applyBorder="1" applyAlignment="1">
      <alignment horizontal="center" vertical="center"/>
    </xf>
    <xf numFmtId="44" fontId="26" fillId="0" borderId="35" xfId="27" applyNumberFormat="1" applyFont="1" applyBorder="1" applyAlignment="1">
      <alignment horizontal="center" vertical="center"/>
    </xf>
    <xf numFmtId="10" fontId="33" fillId="0" borderId="36" xfId="27" applyNumberFormat="1" applyFont="1" applyBorder="1" applyAlignment="1">
      <alignment horizontal="center" vertical="center"/>
    </xf>
    <xf numFmtId="0" fontId="36" fillId="0" borderId="0" xfId="28" applyFont="1" applyBorder="1" applyAlignment="1">
      <alignment horizontal="left" vertical="center"/>
    </xf>
    <xf numFmtId="0" fontId="38" fillId="0" borderId="6" xfId="21" applyFont="1" applyBorder="1" applyAlignment="1">
      <alignment horizontal="center" vertical="center"/>
    </xf>
    <xf numFmtId="0" fontId="38" fillId="0" borderId="7" xfId="21" applyFont="1" applyBorder="1" applyAlignment="1">
      <alignment horizontal="center" vertical="center"/>
    </xf>
    <xf numFmtId="0" fontId="38" fillId="0" borderId="12" xfId="21" applyFont="1" applyBorder="1" applyAlignment="1">
      <alignment horizontal="center" vertical="center"/>
    </xf>
    <xf numFmtId="0" fontId="2" fillId="0" borderId="0" xfId="21"/>
    <xf numFmtId="0" fontId="38" fillId="0" borderId="8" xfId="21" applyFont="1" applyBorder="1" applyAlignment="1">
      <alignment horizontal="center" vertical="center"/>
    </xf>
    <xf numFmtId="0" fontId="38" fillId="0" borderId="0" xfId="21" applyFont="1" applyBorder="1" applyAlignment="1">
      <alignment horizontal="center" vertical="center"/>
    </xf>
    <xf numFmtId="0" fontId="38" fillId="0" borderId="13" xfId="21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10" fontId="27" fillId="0" borderId="25" xfId="26" applyNumberFormat="1" applyFont="1" applyBorder="1" applyAlignment="1">
      <alignment horizontal="center" vertical="center" shrinkToFit="1"/>
    </xf>
    <xf numFmtId="0" fontId="15" fillId="0" borderId="37" xfId="21" applyFont="1" applyBorder="1" applyAlignment="1">
      <alignment horizontal="center" vertical="center"/>
    </xf>
    <xf numFmtId="0" fontId="15" fillId="0" borderId="38" xfId="21" applyFont="1" applyBorder="1" applyAlignment="1">
      <alignment horizontal="center" vertical="center"/>
    </xf>
    <xf numFmtId="0" fontId="15" fillId="0" borderId="10" xfId="21" applyFont="1" applyBorder="1" applyAlignment="1">
      <alignment horizontal="center" vertical="center"/>
    </xf>
    <xf numFmtId="0" fontId="15" fillId="0" borderId="35" xfId="21" applyFont="1" applyBorder="1" applyAlignment="1">
      <alignment horizontal="center" vertical="center"/>
    </xf>
    <xf numFmtId="0" fontId="15" fillId="0" borderId="39" xfId="21" applyFont="1" applyBorder="1" applyAlignment="1">
      <alignment horizontal="center" wrapText="1"/>
    </xf>
    <xf numFmtId="0" fontId="18" fillId="6" borderId="40" xfId="21" applyFont="1" applyFill="1" applyBorder="1" applyAlignment="1">
      <alignment horizontal="center"/>
    </xf>
    <xf numFmtId="1" fontId="18" fillId="6" borderId="41" xfId="21" applyNumberFormat="1" applyFont="1" applyFill="1" applyBorder="1" applyAlignment="1">
      <alignment horizontal="left"/>
    </xf>
    <xf numFmtId="1" fontId="18" fillId="6" borderId="16" xfId="21" applyNumberFormat="1" applyFont="1" applyFill="1" applyBorder="1" applyAlignment="1">
      <alignment horizontal="left"/>
    </xf>
    <xf numFmtId="1" fontId="18" fillId="6" borderId="42" xfId="21" applyNumberFormat="1" applyFont="1" applyFill="1" applyBorder="1" applyAlignment="1">
      <alignment horizontal="left"/>
    </xf>
    <xf numFmtId="4" fontId="18" fillId="6" borderId="43" xfId="21" applyNumberFormat="1" applyFont="1" applyFill="1" applyBorder="1" applyAlignment="1">
      <alignment horizontal="center"/>
    </xf>
    <xf numFmtId="0" fontId="15" fillId="0" borderId="0" xfId="21" applyFont="1" applyAlignment="1">
      <alignment horizontal="center" vertical="center"/>
    </xf>
    <xf numFmtId="0" fontId="2" fillId="0" borderId="37" xfId="21" applyBorder="1" applyAlignment="1">
      <alignment horizontal="center"/>
    </xf>
    <xf numFmtId="1" fontId="2" fillId="0" borderId="19" xfId="21" applyNumberFormat="1" applyBorder="1" applyAlignment="1">
      <alignment horizontal="left"/>
    </xf>
    <xf numFmtId="0" fontId="2" fillId="0" borderId="20" xfId="21" applyBorder="1" applyAlignment="1">
      <alignment horizontal="left"/>
    </xf>
    <xf numFmtId="0" fontId="2" fillId="0" borderId="21" xfId="21" applyBorder="1" applyAlignment="1">
      <alignment horizontal="left"/>
    </xf>
    <xf numFmtId="2" fontId="2" fillId="0" borderId="39" xfId="22" applyNumberFormat="1" applyFont="1" applyBorder="1" applyAlignment="1">
      <alignment horizontal="center"/>
    </xf>
    <xf numFmtId="2" fontId="12" fillId="0" borderId="17" xfId="20" applyNumberFormat="1" applyFont="1" applyBorder="1" applyAlignment="1">
      <alignment horizontal="center" vertical="center"/>
    </xf>
    <xf numFmtId="2" fontId="39" fillId="0" borderId="18" xfId="20" applyNumberFormat="1" applyFont="1" applyBorder="1" applyAlignment="1">
      <alignment horizontal="center" vertical="center"/>
    </xf>
    <xf numFmtId="0" fontId="2" fillId="0" borderId="24" xfId="21" applyBorder="1" applyAlignment="1">
      <alignment horizontal="center"/>
    </xf>
    <xf numFmtId="1" fontId="2" fillId="0" borderId="2" xfId="21" applyNumberFormat="1" applyBorder="1" applyAlignment="1">
      <alignment horizontal="left"/>
    </xf>
    <xf numFmtId="0" fontId="2" fillId="0" borderId="3" xfId="21" applyBorder="1" applyAlignment="1">
      <alignment horizontal="left"/>
    </xf>
    <xf numFmtId="0" fontId="2" fillId="0" borderId="4" xfId="21" applyBorder="1" applyAlignment="1">
      <alignment horizontal="left"/>
    </xf>
    <xf numFmtId="2" fontId="2" fillId="0" borderId="25" xfId="22" applyNumberFormat="1" applyFont="1" applyBorder="1" applyAlignment="1">
      <alignment horizontal="center"/>
    </xf>
    <xf numFmtId="0" fontId="2" fillId="0" borderId="44" xfId="21" applyBorder="1" applyAlignment="1">
      <alignment horizontal="center"/>
    </xf>
    <xf numFmtId="1" fontId="2" fillId="0" borderId="45" xfId="21" applyNumberFormat="1" applyBorder="1" applyAlignment="1">
      <alignment horizontal="left"/>
    </xf>
    <xf numFmtId="0" fontId="2" fillId="0" borderId="46" xfId="21" applyBorder="1" applyAlignment="1">
      <alignment horizontal="left"/>
    </xf>
    <xf numFmtId="0" fontId="2" fillId="0" borderId="47" xfId="21" applyBorder="1" applyAlignment="1">
      <alignment horizontal="left"/>
    </xf>
    <xf numFmtId="2" fontId="2" fillId="0" borderId="34" xfId="22" applyNumberFormat="1" applyFont="1" applyBorder="1" applyAlignment="1">
      <alignment horizontal="center"/>
    </xf>
    <xf numFmtId="2" fontId="12" fillId="0" borderId="17" xfId="21" applyNumberFormat="1" applyFont="1" applyBorder="1" applyAlignment="1">
      <alignment horizontal="center"/>
    </xf>
    <xf numFmtId="0" fontId="39" fillId="0" borderId="18" xfId="21" applyFont="1" applyBorder="1" applyAlignment="1">
      <alignment horizontal="center"/>
    </xf>
    <xf numFmtId="0" fontId="18" fillId="6" borderId="16" xfId="21" applyFont="1" applyFill="1" applyBorder="1" applyAlignment="1">
      <alignment horizontal="left"/>
    </xf>
    <xf numFmtId="0" fontId="2" fillId="6" borderId="16" xfId="21" applyFill="1" applyBorder="1" applyAlignment="1">
      <alignment horizontal="left"/>
    </xf>
    <xf numFmtId="0" fontId="2" fillId="6" borderId="42" xfId="21" applyFill="1" applyBorder="1" applyAlignment="1">
      <alignment horizontal="left"/>
    </xf>
    <xf numFmtId="0" fontId="2" fillId="0" borderId="48" xfId="21" applyBorder="1" applyAlignment="1">
      <alignment horizontal="center"/>
    </xf>
    <xf numFmtId="1" fontId="2" fillId="0" borderId="41" xfId="21" applyNumberFormat="1" applyBorder="1" applyAlignment="1">
      <alignment horizontal="left"/>
    </xf>
    <xf numFmtId="0" fontId="2" fillId="0" borderId="16" xfId="21" applyBorder="1" applyAlignment="1">
      <alignment horizontal="left"/>
    </xf>
    <xf numFmtId="0" fontId="2" fillId="0" borderId="42" xfId="21" applyBorder="1" applyAlignment="1">
      <alignment horizontal="left"/>
    </xf>
    <xf numFmtId="4" fontId="2" fillId="0" borderId="49" xfId="21" applyNumberFormat="1" applyBorder="1" applyAlignment="1">
      <alignment horizontal="center"/>
    </xf>
    <xf numFmtId="0" fontId="12" fillId="0" borderId="0" xfId="21" applyFont="1" applyAlignment="1">
      <alignment vertical="center"/>
    </xf>
    <xf numFmtId="0" fontId="18" fillId="0" borderId="37" xfId="21" applyFont="1" applyBorder="1" applyAlignment="1">
      <alignment horizontal="center"/>
    </xf>
    <xf numFmtId="1" fontId="2" fillId="0" borderId="20" xfId="21" applyNumberFormat="1" applyBorder="1" applyAlignment="1">
      <alignment horizontal="left"/>
    </xf>
    <xf numFmtId="4" fontId="2" fillId="2" borderId="39" xfId="21" applyNumberFormat="1" applyFill="1" applyBorder="1" applyAlignment="1">
      <alignment horizontal="center"/>
    </xf>
    <xf numFmtId="0" fontId="18" fillId="0" borderId="24" xfId="21" applyFont="1" applyBorder="1" applyAlignment="1">
      <alignment horizontal="center"/>
    </xf>
    <xf numFmtId="1" fontId="2" fillId="0" borderId="3" xfId="21" applyNumberFormat="1" applyBorder="1" applyAlignment="1">
      <alignment horizontal="left"/>
    </xf>
    <xf numFmtId="4" fontId="2" fillId="0" borderId="25" xfId="21" applyNumberFormat="1" applyBorder="1" applyAlignment="1">
      <alignment horizontal="center"/>
    </xf>
    <xf numFmtId="0" fontId="18" fillId="0" borderId="44" xfId="21" applyFont="1" applyBorder="1" applyAlignment="1">
      <alignment horizontal="center"/>
    </xf>
    <xf numFmtId="4" fontId="2" fillId="0" borderId="34" xfId="21" applyNumberFormat="1" applyBorder="1" applyAlignment="1">
      <alignment horizontal="center"/>
    </xf>
    <xf numFmtId="0" fontId="2" fillId="0" borderId="9" xfId="21" applyBorder="1" applyAlignment="1">
      <alignment horizontal="left"/>
    </xf>
    <xf numFmtId="0" fontId="2" fillId="0" borderId="10" xfId="21" applyBorder="1" applyAlignment="1">
      <alignment horizontal="left"/>
    </xf>
    <xf numFmtId="0" fontId="2" fillId="0" borderId="14" xfId="21" applyBorder="1" applyAlignment="1">
      <alignment horizontal="left"/>
    </xf>
    <xf numFmtId="0" fontId="2" fillId="0" borderId="17" xfId="21" applyBorder="1" applyAlignment="1">
      <alignment horizontal="left" vertical="center" wrapText="1"/>
    </xf>
    <xf numFmtId="0" fontId="2" fillId="0" borderId="16" xfId="21" applyBorder="1" applyAlignment="1">
      <alignment horizontal="left" vertical="center" wrapText="1"/>
    </xf>
    <xf numFmtId="0" fontId="2" fillId="0" borderId="18" xfId="21" applyBorder="1" applyAlignment="1">
      <alignment horizontal="left" vertical="center" wrapText="1"/>
    </xf>
    <xf numFmtId="2" fontId="40" fillId="0" borderId="0" xfId="21" applyNumberFormat="1" applyFont="1"/>
    <xf numFmtId="0" fontId="41" fillId="6" borderId="17" xfId="21" applyFont="1" applyFill="1" applyBorder="1" applyAlignment="1">
      <alignment horizontal="center" vertical="center" wrapText="1"/>
    </xf>
    <xf numFmtId="0" fontId="41" fillId="6" borderId="16" xfId="21" applyFont="1" applyFill="1" applyBorder="1" applyAlignment="1">
      <alignment horizontal="center" vertical="center" wrapText="1"/>
    </xf>
    <xf numFmtId="0" fontId="41" fillId="6" borderId="18" xfId="21" applyFont="1" applyFill="1" applyBorder="1" applyAlignment="1">
      <alignment horizontal="center" vertical="center" wrapText="1"/>
    </xf>
    <xf numFmtId="2" fontId="42" fillId="6" borderId="15" xfId="21" applyNumberFormat="1" applyFont="1" applyFill="1" applyBorder="1" applyAlignment="1">
      <alignment horizontal="center" vertical="center"/>
    </xf>
    <xf numFmtId="0" fontId="15" fillId="0" borderId="17" xfId="21" applyFont="1" applyBorder="1" applyAlignment="1">
      <alignment horizontal="center"/>
    </xf>
    <xf numFmtId="0" fontId="15" fillId="0" borderId="16" xfId="21" applyFont="1" applyBorder="1" applyAlignment="1">
      <alignment horizontal="center"/>
    </xf>
    <xf numFmtId="0" fontId="15" fillId="0" borderId="18" xfId="21" applyFont="1" applyBorder="1" applyAlignment="1">
      <alignment horizontal="center"/>
    </xf>
    <xf numFmtId="44" fontId="28" fillId="0" borderId="15" xfId="4" applyFont="1" applyBorder="1" applyAlignment="1">
      <alignment vertical="center"/>
    </xf>
    <xf numFmtId="10" fontId="12" fillId="0" borderId="0" xfId="22" applyNumberFormat="1" applyFont="1" applyFill="1" applyBorder="1" applyAlignment="1">
      <alignment vertical="center"/>
    </xf>
    <xf numFmtId="1" fontId="18" fillId="0" borderId="9" xfId="21" applyNumberFormat="1" applyFont="1" applyBorder="1" applyAlignment="1">
      <alignment horizontal="center" vertical="center"/>
    </xf>
    <xf numFmtId="1" fontId="18" fillId="0" borderId="10" xfId="21" applyNumberFormat="1" applyFont="1" applyBorder="1" applyAlignment="1">
      <alignment horizontal="center" vertical="center"/>
    </xf>
    <xf numFmtId="1" fontId="18" fillId="0" borderId="14" xfId="21" applyNumberFormat="1" applyFont="1" applyBorder="1" applyAlignment="1">
      <alignment horizontal="center" vertical="center"/>
    </xf>
    <xf numFmtId="0" fontId="43" fillId="0" borderId="17" xfId="21" applyFont="1" applyBorder="1" applyAlignment="1">
      <alignment horizontal="center" vertical="center" wrapText="1"/>
    </xf>
    <xf numFmtId="0" fontId="43" fillId="0" borderId="16" xfId="21" applyFont="1" applyBorder="1" applyAlignment="1">
      <alignment horizontal="center" vertical="center" wrapText="1"/>
    </xf>
    <xf numFmtId="0" fontId="43" fillId="0" borderId="18" xfId="21" applyFont="1" applyBorder="1" applyAlignment="1">
      <alignment horizontal="center" vertical="center" wrapText="1"/>
    </xf>
    <xf numFmtId="0" fontId="2" fillId="0" borderId="6" xfId="21" applyBorder="1" applyAlignment="1">
      <alignment horizontal="center"/>
    </xf>
    <xf numFmtId="0" fontId="2" fillId="0" borderId="7" xfId="21" applyBorder="1" applyAlignment="1">
      <alignment horizontal="center"/>
    </xf>
    <xf numFmtId="0" fontId="2" fillId="0" borderId="12" xfId="21" applyBorder="1" applyAlignment="1">
      <alignment horizontal="center"/>
    </xf>
    <xf numFmtId="0" fontId="2" fillId="0" borderId="8" xfId="21" applyBorder="1" applyAlignment="1">
      <alignment horizontal="center"/>
    </xf>
    <xf numFmtId="0" fontId="2" fillId="0" borderId="0" xfId="21" applyBorder="1" applyAlignment="1">
      <alignment horizontal="center"/>
    </xf>
    <xf numFmtId="0" fontId="2" fillId="0" borderId="13" xfId="21" applyBorder="1" applyAlignment="1">
      <alignment horizontal="center"/>
    </xf>
    <xf numFmtId="0" fontId="44" fillId="0" borderId="0" xfId="21" applyFont="1"/>
    <xf numFmtId="0" fontId="2" fillId="0" borderId="9" xfId="21" applyBorder="1" applyAlignment="1">
      <alignment horizontal="center"/>
    </xf>
    <xf numFmtId="0" fontId="2" fillId="0" borderId="10" xfId="21" applyBorder="1" applyAlignment="1">
      <alignment horizontal="center"/>
    </xf>
    <xf numFmtId="0" fontId="2" fillId="0" borderId="14" xfId="21" applyBorder="1" applyAlignment="1">
      <alignment horizontal="center"/>
    </xf>
    <xf numFmtId="0" fontId="26" fillId="0" borderId="38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</cellXfs>
  <cellStyles count="29">
    <cellStyle name="Currency 2 2 3" xfId="2"/>
    <cellStyle name="Currency 2 2 3 2" xfId="5"/>
    <cellStyle name="Currency 2 2 3 3" xfId="18"/>
    <cellStyle name="Moeda" xfId="4" builtinId="4"/>
    <cellStyle name="Moeda 2" xfId="6"/>
    <cellStyle name="Moeda 2 2" xfId="23"/>
    <cellStyle name="Moeda 2 3" xfId="14"/>
    <cellStyle name="Moeda 3" xfId="7"/>
    <cellStyle name="Moeda 3 2" xfId="19"/>
    <cellStyle name="Moeda 4" xfId="24"/>
    <cellStyle name="Moeda 5" xfId="13"/>
    <cellStyle name="Normal" xfId="0" builtinId="0"/>
    <cellStyle name="Normal 10" xfId="3"/>
    <cellStyle name="Normal 2" xfId="11"/>
    <cellStyle name="Normal 2 2" xfId="27"/>
    <cellStyle name="Normal 2 2 2" xfId="21"/>
    <cellStyle name="Normal 2 3" xfId="28"/>
    <cellStyle name="Normal 3 2" xfId="20"/>
    <cellStyle name="Normal 32 2 2" xfId="1"/>
    <cellStyle name="Porcentagem" xfId="26" builtinId="5"/>
    <cellStyle name="Porcentagem 2 2" xfId="22"/>
    <cellStyle name="Porcentagem 3" xfId="10"/>
    <cellStyle name="Separador de milhares 3 2" xfId="8"/>
    <cellStyle name="Separador de milhares 3 2 2" xfId="15"/>
    <cellStyle name="Separador de milhares 6" xfId="9"/>
    <cellStyle name="Separador de milhares 6 2" xfId="16"/>
    <cellStyle name="Vírgula 2" xfId="12"/>
    <cellStyle name="Vírgula 2 2" xfId="17"/>
    <cellStyle name="Vírgula 3" xfId="25"/>
  </cellStyles>
  <dxfs count="8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F07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129872</xdr:colOff>
      <xdr:row>1</xdr:row>
      <xdr:rowOff>145676</xdr:rowOff>
    </xdr:from>
    <xdr:to>
      <xdr:col>3</xdr:col>
      <xdr:colOff>1191457</xdr:colOff>
      <xdr:row>4</xdr:row>
      <xdr:rowOff>312964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197" y="317126"/>
          <a:ext cx="2557010" cy="843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129872</xdr:colOff>
      <xdr:row>1</xdr:row>
      <xdr:rowOff>145676</xdr:rowOff>
    </xdr:from>
    <xdr:to>
      <xdr:col>3</xdr:col>
      <xdr:colOff>1524832</xdr:colOff>
      <xdr:row>4</xdr:row>
      <xdr:rowOff>312964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37" y="336176"/>
          <a:ext cx="2554769" cy="839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819150</xdr:colOff>
      <xdr:row>0</xdr:row>
      <xdr:rowOff>123825</xdr:rowOff>
    </xdr:from>
    <xdr:ext cx="2220808" cy="627618"/>
    <xdr:pic>
      <xdr:nvPicPr>
        <xdr:cNvPr id="2" name="image2.jpeg">
          <a:extLst>
            <a:ext uri="{FF2B5EF4-FFF2-40B4-BE49-F238E27FC236}">
              <a16:creationId xmlns:a16="http://schemas.microsoft.com/office/drawing/2014/main" id="{FFADE326-D4F7-4B92-9851-BD4F79C17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123825"/>
          <a:ext cx="2220808" cy="62761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1394809</xdr:colOff>
      <xdr:row>29</xdr:row>
      <xdr:rowOff>15875</xdr:rowOff>
    </xdr:from>
    <xdr:ext cx="3345468" cy="44121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8C2B8BB9-5CB2-4BC3-8193-50A9F4203067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14:m>
                <m:oMath xmlns:m="http://schemas.openxmlformats.org/officeDocument/2006/math">
                  <m:r>
                    <a:rPr lang="pt-BR" sz="180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AC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R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S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G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DF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L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I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800" b="0" i="0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8C2B8BB9-5CB2-4BC3-8193-50A9F4203067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:r>
                <a:rPr lang="pt-BR" sz="1800" i="0">
                  <a:latin typeface="Cambria Math" panose="02040503050406030204" pitchFamily="18" charset="0"/>
                </a:rPr>
                <a:t>=(</a:t>
              </a:r>
              <a:r>
                <a:rPr lang="pt-BR" sz="1800" b="0" i="0">
                  <a:latin typeface="Cambria Math" panose="02040503050406030204" pitchFamily="18" charset="0"/>
                </a:rPr>
                <a:t>(1+AC+R+S+G)(1+DF)(1+L))/((1−I))−1</a:t>
              </a:r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0</xdr:colOff>
      <xdr:row>1</xdr:row>
      <xdr:rowOff>134498</xdr:rowOff>
    </xdr:from>
    <xdr:ext cx="1825607" cy="515932"/>
    <xdr:pic>
      <xdr:nvPicPr>
        <xdr:cNvPr id="8" name="image2.jpeg">
          <a:extLst>
            <a:ext uri="{FF2B5EF4-FFF2-40B4-BE49-F238E27FC236}">
              <a16:creationId xmlns:a16="http://schemas.microsoft.com/office/drawing/2014/main" id="{4C4A4541-F8CB-42D5-8BE3-B7742A948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324998"/>
          <a:ext cx="1825607" cy="51593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127000</xdr:rowOff>
    </xdr:from>
    <xdr:to>
      <xdr:col>2</xdr:col>
      <xdr:colOff>1905000</xdr:colOff>
      <xdr:row>0</xdr:row>
      <xdr:rowOff>902848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27000"/>
          <a:ext cx="2349500" cy="7758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NOVA%20CANA&#195;%20DO%20NORTE/004%20-%20PLANILHAS/NAC%20-%20PLANILHA%20OR&#199;AMENT&#193;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LLACY\LICITA&#199;&#195;O%20SENAR\Planilha%20Or&#231;ament&#225;ria%20-%20Nova%20Cana&#227;%20do%20Nor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07%20CENTRO%20DE%20TREINAMENTO/CTDT%20-%20SORRISO/REFORMA/Reforma%20CT%20SORRISO%20-%20Documentos%20para%20licita&#231;&#227;o/PLANILHA%20PARA%20LICITA&#199;&#195;O%20-%20%20REFORMA%20-%20CT%20SORRISO%20-%2025.02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  <cell r="C6" t="str">
            <v>REF.:</v>
          </cell>
        </row>
        <row r="8">
          <cell r="C8" t="str">
            <v>BDI:</v>
          </cell>
        </row>
        <row r="11">
          <cell r="A11" t="str">
            <v>1.0</v>
          </cell>
        </row>
        <row r="12">
          <cell r="A12" t="str">
            <v>2.0</v>
          </cell>
        </row>
        <row r="13">
          <cell r="A13" t="str">
            <v>3.0</v>
          </cell>
        </row>
        <row r="14">
          <cell r="A14" t="str">
            <v>4.0</v>
          </cell>
        </row>
        <row r="15">
          <cell r="A15" t="str">
            <v>5.0</v>
          </cell>
        </row>
        <row r="16">
          <cell r="A16" t="str">
            <v>6.0</v>
          </cell>
        </row>
        <row r="17">
          <cell r="A17" t="str">
            <v>7.0</v>
          </cell>
        </row>
        <row r="18">
          <cell r="A18" t="str">
            <v>8.0</v>
          </cell>
        </row>
        <row r="19">
          <cell r="A19" t="str">
            <v>9.0</v>
          </cell>
        </row>
        <row r="20">
          <cell r="A20" t="str">
            <v>10.0</v>
          </cell>
        </row>
      </sheetData>
      <sheetData sheetId="1">
        <row r="11">
          <cell r="A11" t="str">
            <v>1.0</v>
          </cell>
        </row>
      </sheetData>
      <sheetData sheetId="2"/>
      <sheetData sheetId="3"/>
      <sheetData sheetId="4"/>
      <sheetData sheetId="5">
        <row r="25">
          <cell r="G25">
            <v>28.347674918197008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ilha Orçamentária"/>
      <sheetName val="Composições"/>
      <sheetName val="Cronograma"/>
    </sheetNames>
    <sheetDataSet>
      <sheetData sheetId="0">
        <row r="6">
          <cell r="D6" t="str">
            <v>SINAPI-MT
DES_SET/2021</v>
          </cell>
        </row>
        <row r="8">
          <cell r="D8">
            <v>0.28347674918197008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. ORÇAMENTÁRIA"/>
      <sheetName val="COMP."/>
      <sheetName val="Cronograma"/>
      <sheetName val="BDI"/>
      <sheetName val="Pintura"/>
      <sheetName val="Pedido do CT"/>
      <sheetName val="suporteComposições"/>
      <sheetName val="Mem. de Calculo"/>
    </sheetNames>
    <sheetDataSet>
      <sheetData sheetId="0">
        <row r="13">
          <cell r="C13" t="str">
            <v>ADMINISTRAÇÃO DA OBRA</v>
          </cell>
        </row>
        <row r="14">
          <cell r="C14" t="str">
            <v>SERVIÇOS PRELIMINARES</v>
          </cell>
        </row>
        <row r="15">
          <cell r="C15" t="str">
            <v>REPARO COBERTURA</v>
          </cell>
        </row>
        <row r="16">
          <cell r="C16" t="str">
            <v>ESQUADRIAS - JANELAS.</v>
          </cell>
        </row>
        <row r="17">
          <cell r="C17" t="str">
            <v>ESQUADRIAS METÁLICAS</v>
          </cell>
        </row>
        <row r="18">
          <cell r="C18" t="str">
            <v>LUMINÁRIAS e REFLETORES</v>
          </cell>
        </row>
        <row r="19">
          <cell r="C19" t="str">
            <v>INSTLAÇÕES ELÉTRICAS</v>
          </cell>
        </row>
        <row r="20">
          <cell r="C20" t="str">
            <v>SPDA</v>
          </cell>
        </row>
        <row r="21">
          <cell r="C21" t="str">
            <v>SERVIÇOS ESPECIAIAS</v>
          </cell>
        </row>
        <row r="22">
          <cell r="C22" t="str">
            <v>SERVIÇOS FINAIS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1" name="Tabela1" displayName="Tabela1" ref="B3:G8" totalsRowShown="0" headerRowDxfId="7" dataDxfId="6">
  <autoFilter ref="B3:G8"/>
  <tableColumns count="6">
    <tableColumn id="1" name="ITEM " dataDxfId="5"/>
    <tableColumn id="2" name="DESCRIÇÃO" dataDxfId="4"/>
    <tableColumn id="3" name=" ÁREA" dataDxfId="3"/>
    <tableColumn id="4" name="PINTURA" dataDxfId="2"/>
    <tableColumn id="5" name="RENDIMENTO" dataDxfId="1"/>
    <tableColumn id="6" name="TOTAL" dataDxfId="0">
      <calculatedColumnFormula>ROUNDUP(Tabela1[[#This Row],[ ÁREA]]/300,0)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32"/>
  <sheetViews>
    <sheetView view="pageBreakPreview" topLeftCell="A17" zoomScaleNormal="85" zoomScaleSheetLayoutView="100" workbookViewId="0">
      <selection activeCell="K21" sqref="K21"/>
    </sheetView>
  </sheetViews>
  <sheetFormatPr defaultColWidth="9.28515625" defaultRowHeight="12.75" x14ac:dyDescent="0.25"/>
  <cols>
    <col min="1" max="1" width="4.7109375" style="187" customWidth="1"/>
    <col min="2" max="2" width="11.5703125" style="188" customWidth="1"/>
    <col min="3" max="3" width="10.85546875" style="188" bestFit="1" customWidth="1"/>
    <col min="4" max="4" width="59.42578125" style="189" customWidth="1"/>
    <col min="5" max="5" width="7" style="188" bestFit="1" customWidth="1"/>
    <col min="6" max="6" width="9.7109375" style="188" bestFit="1" customWidth="1"/>
    <col min="7" max="7" width="18.7109375" style="190" customWidth="1"/>
    <col min="8" max="8" width="14.85546875" style="190" customWidth="1"/>
    <col min="9" max="9" width="19.28515625" style="190" customWidth="1"/>
    <col min="10" max="10" width="1.28515625" style="187" customWidth="1"/>
    <col min="11" max="11" width="21.7109375" style="188" customWidth="1"/>
    <col min="12" max="16384" width="9.28515625" style="188"/>
  </cols>
  <sheetData>
    <row r="1" spans="1:10" ht="13.5" thickBot="1" x14ac:dyDescent="0.3"/>
    <row r="2" spans="1:10" ht="15" customHeight="1" x14ac:dyDescent="0.25">
      <c r="B2" s="128"/>
      <c r="C2" s="184"/>
      <c r="D2" s="210" t="s">
        <v>117</v>
      </c>
      <c r="E2" s="210"/>
      <c r="F2" s="210"/>
      <c r="G2" s="210"/>
      <c r="H2" s="211"/>
      <c r="I2" s="216" t="s">
        <v>381</v>
      </c>
      <c r="J2" s="219"/>
    </row>
    <row r="3" spans="1:10" ht="23.25" customHeight="1" x14ac:dyDescent="0.25">
      <c r="B3" s="130"/>
      <c r="C3" s="185"/>
      <c r="D3" s="212"/>
      <c r="E3" s="212"/>
      <c r="F3" s="212"/>
      <c r="G3" s="212"/>
      <c r="H3" s="213"/>
      <c r="I3" s="217"/>
      <c r="J3" s="219"/>
    </row>
    <row r="4" spans="1:10" ht="15" customHeight="1" x14ac:dyDescent="0.25">
      <c r="B4" s="130"/>
      <c r="C4" s="185"/>
      <c r="D4" s="212"/>
      <c r="E4" s="212"/>
      <c r="F4" s="212"/>
      <c r="G4" s="212"/>
      <c r="H4" s="213"/>
      <c r="I4" s="217"/>
      <c r="J4" s="191">
        <v>0.24510000000000001</v>
      </c>
    </row>
    <row r="5" spans="1:10" ht="33" customHeight="1" thickBot="1" x14ac:dyDescent="0.3">
      <c r="B5" s="133"/>
      <c r="C5" s="186"/>
      <c r="D5" s="214"/>
      <c r="E5" s="214"/>
      <c r="F5" s="214"/>
      <c r="G5" s="214"/>
      <c r="H5" s="215"/>
      <c r="I5" s="218"/>
      <c r="J5" s="192"/>
    </row>
    <row r="6" spans="1:10" x14ac:dyDescent="0.25">
      <c r="B6" s="93"/>
      <c r="C6" s="93"/>
      <c r="D6" s="136"/>
      <c r="E6" s="93"/>
      <c r="F6" s="93"/>
      <c r="G6" s="193"/>
      <c r="H6" s="137"/>
      <c r="I6" s="137"/>
    </row>
    <row r="7" spans="1:10" x14ac:dyDescent="0.25">
      <c r="B7" s="194" t="s">
        <v>382</v>
      </c>
      <c r="C7" s="207" t="s">
        <v>383</v>
      </c>
      <c r="D7" s="207"/>
      <c r="E7" s="207"/>
      <c r="F7" s="207"/>
      <c r="G7" s="207"/>
      <c r="H7" s="208" t="s">
        <v>384</v>
      </c>
      <c r="I7" s="208" t="s">
        <v>385</v>
      </c>
    </row>
    <row r="8" spans="1:10" x14ac:dyDescent="0.25">
      <c r="B8" s="194" t="s">
        <v>386</v>
      </c>
      <c r="C8" s="207" t="s">
        <v>397</v>
      </c>
      <c r="D8" s="207"/>
      <c r="E8" s="207"/>
      <c r="F8" s="207"/>
      <c r="G8" s="207"/>
      <c r="H8" s="208"/>
      <c r="I8" s="208"/>
    </row>
    <row r="9" spans="1:10" x14ac:dyDescent="0.25">
      <c r="B9" s="194" t="s">
        <v>387</v>
      </c>
      <c r="C9" s="207" t="s">
        <v>398</v>
      </c>
      <c r="D9" s="207"/>
      <c r="E9" s="207"/>
      <c r="F9" s="207"/>
      <c r="G9" s="207"/>
      <c r="H9" s="208" t="s">
        <v>388</v>
      </c>
      <c r="I9" s="209">
        <v>0.28349999999999997</v>
      </c>
    </row>
    <row r="10" spans="1:10" x14ac:dyDescent="0.25">
      <c r="B10" s="194" t="s">
        <v>389</v>
      </c>
      <c r="C10" s="207" t="s">
        <v>399</v>
      </c>
      <c r="D10" s="207"/>
      <c r="E10" s="207"/>
      <c r="F10" s="207"/>
      <c r="G10" s="207"/>
      <c r="H10" s="208"/>
      <c r="I10" s="209"/>
    </row>
    <row r="11" spans="1:10" ht="13.5" thickBot="1" x14ac:dyDescent="0.3">
      <c r="B11" s="93"/>
      <c r="C11" s="93"/>
      <c r="D11" s="136"/>
      <c r="E11" s="93"/>
      <c r="F11" s="93"/>
      <c r="G11" s="193"/>
      <c r="H11" s="137"/>
      <c r="I11" s="137"/>
    </row>
    <row r="12" spans="1:10" ht="25.5" customHeight="1" x14ac:dyDescent="0.25">
      <c r="B12" s="271" t="s">
        <v>2</v>
      </c>
      <c r="C12" s="272" t="s">
        <v>3</v>
      </c>
      <c r="D12" s="272"/>
      <c r="E12" s="272"/>
      <c r="F12" s="272"/>
      <c r="G12" s="272"/>
      <c r="H12" s="272"/>
      <c r="I12" s="273" t="s">
        <v>5</v>
      </c>
    </row>
    <row r="13" spans="1:10" ht="27.75" customHeight="1" x14ac:dyDescent="0.25">
      <c r="B13" s="196" t="s">
        <v>124</v>
      </c>
      <c r="C13" s="201" t="str">
        <f>'PLAN. ORÇAMENTÁRIA'!C8:I8</f>
        <v>ADMINISTRAÇÃO DA OBRA</v>
      </c>
      <c r="D13" s="201"/>
      <c r="E13" s="201"/>
      <c r="F13" s="201"/>
      <c r="G13" s="201"/>
      <c r="H13" s="201"/>
      <c r="I13" s="197">
        <f>'PLAN. ORÇAMENTÁRIA'!I11</f>
        <v>4937.8</v>
      </c>
    </row>
    <row r="14" spans="1:10" ht="27.75" customHeight="1" x14ac:dyDescent="0.25">
      <c r="A14" s="188"/>
      <c r="B14" s="196" t="s">
        <v>119</v>
      </c>
      <c r="C14" s="201" t="str">
        <f>'PLAN. ORÇAMENTÁRIA'!C13:I13</f>
        <v>SERVIÇOS PRELIMINARES</v>
      </c>
      <c r="D14" s="201"/>
      <c r="E14" s="201"/>
      <c r="F14" s="201"/>
      <c r="G14" s="201"/>
      <c r="H14" s="201"/>
      <c r="I14" s="197">
        <f>'PLAN. ORÇAMENTÁRIA'!I20</f>
        <v>11571.189999999999</v>
      </c>
      <c r="J14" s="188"/>
    </row>
    <row r="15" spans="1:10" ht="27.75" customHeight="1" x14ac:dyDescent="0.25">
      <c r="B15" s="196" t="s">
        <v>95</v>
      </c>
      <c r="C15" s="201" t="str">
        <f>'PLAN. ORÇAMENTÁRIA'!C22:I22</f>
        <v>MURO DE ALVENARIA</v>
      </c>
      <c r="D15" s="201"/>
      <c r="E15" s="201"/>
      <c r="F15" s="201"/>
      <c r="G15" s="201"/>
      <c r="H15" s="201"/>
      <c r="I15" s="197">
        <f>'PLAN. ORÇAMENTÁRIA'!I38</f>
        <v>7950.2599999999993</v>
      </c>
    </row>
    <row r="16" spans="1:10" ht="27.75" customHeight="1" x14ac:dyDescent="0.25">
      <c r="B16" s="196" t="s">
        <v>390</v>
      </c>
      <c r="C16" s="201" t="str">
        <f>'PLAN. ORÇAMENTÁRIA'!C40:I40</f>
        <v>COBERTURA</v>
      </c>
      <c r="D16" s="201"/>
      <c r="E16" s="201"/>
      <c r="F16" s="201"/>
      <c r="G16" s="201"/>
      <c r="H16" s="201"/>
      <c r="I16" s="197">
        <f>'PLAN. ORÇAMENTÁRIA'!I46</f>
        <v>7681.33</v>
      </c>
    </row>
    <row r="17" spans="2:34" s="187" customFormat="1" ht="27.75" customHeight="1" x14ac:dyDescent="0.25">
      <c r="B17" s="196" t="s">
        <v>391</v>
      </c>
      <c r="C17" s="201" t="str">
        <f>'PLAN. ORÇAMENTÁRIA'!C48:I48</f>
        <v>ESQUADRIAS - JANELAS.</v>
      </c>
      <c r="D17" s="201"/>
      <c r="E17" s="201"/>
      <c r="F17" s="201"/>
      <c r="G17" s="201"/>
      <c r="H17" s="201"/>
      <c r="I17" s="197">
        <f>'PLAN. ORÇAMENTÁRIA'!I52</f>
        <v>12892.94</v>
      </c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</row>
    <row r="18" spans="2:34" s="187" customFormat="1" ht="27.75" customHeight="1" x14ac:dyDescent="0.25">
      <c r="B18" s="196" t="s">
        <v>392</v>
      </c>
      <c r="C18" s="201" t="str">
        <f>'PLAN. ORÇAMENTÁRIA'!C54:I54</f>
        <v>ESQUADRIAS METÁLICAS</v>
      </c>
      <c r="D18" s="201"/>
      <c r="E18" s="201"/>
      <c r="F18" s="201"/>
      <c r="G18" s="201"/>
      <c r="H18" s="201"/>
      <c r="I18" s="197">
        <f>'PLAN. ORÇAMENTÁRIA'!I57</f>
        <v>3835.54</v>
      </c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</row>
    <row r="19" spans="2:34" s="187" customFormat="1" ht="27.75" customHeight="1" x14ac:dyDescent="0.25">
      <c r="B19" s="196" t="s">
        <v>393</v>
      </c>
      <c r="C19" s="201" t="str">
        <f>'PLAN. ORÇAMENTÁRIA'!C59:I59</f>
        <v>LUMINÁRIAS e REFLETORES</v>
      </c>
      <c r="D19" s="201"/>
      <c r="E19" s="201"/>
      <c r="F19" s="201"/>
      <c r="G19" s="201"/>
      <c r="H19" s="201"/>
      <c r="I19" s="197">
        <f>'PLAN. ORÇAMENTÁRIA'!I64</f>
        <v>3855.63</v>
      </c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</row>
    <row r="20" spans="2:34" s="187" customFormat="1" ht="27.75" customHeight="1" x14ac:dyDescent="0.25">
      <c r="B20" s="196" t="s">
        <v>394</v>
      </c>
      <c r="C20" s="201" t="str">
        <f>'PLAN. ORÇAMENTÁRIA'!C67:I67</f>
        <v>INSTLAÇÕES ELÉTRICAS</v>
      </c>
      <c r="D20" s="201"/>
      <c r="E20" s="201"/>
      <c r="F20" s="201"/>
      <c r="G20" s="201"/>
      <c r="H20" s="201"/>
      <c r="I20" s="197">
        <f>'PLAN. ORÇAMENTÁRIA'!I79</f>
        <v>32639.08</v>
      </c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s="187" customFormat="1" ht="27.75" customHeight="1" x14ac:dyDescent="0.25">
      <c r="B21" s="196" t="s">
        <v>395</v>
      </c>
      <c r="C21" s="201" t="str">
        <f>'PLAN. ORÇAMENTÁRIA'!C81:I81</f>
        <v>SPDA</v>
      </c>
      <c r="D21" s="201"/>
      <c r="E21" s="201"/>
      <c r="F21" s="201"/>
      <c r="G21" s="201"/>
      <c r="H21" s="201"/>
      <c r="I21" s="197">
        <f>'PLAN. ORÇAMENTÁRIA'!I92</f>
        <v>4033.26</v>
      </c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</row>
    <row r="22" spans="2:34" ht="27.75" customHeight="1" x14ac:dyDescent="0.25">
      <c r="B22" s="196" t="s">
        <v>396</v>
      </c>
      <c r="C22" s="201" t="str">
        <f>'PLAN. ORÇAMENTÁRIA'!C94:I94</f>
        <v>SERVIÇOS ESPECIAIAS</v>
      </c>
      <c r="D22" s="201"/>
      <c r="E22" s="201"/>
      <c r="F22" s="201"/>
      <c r="G22" s="201"/>
      <c r="H22" s="201"/>
      <c r="I22" s="197">
        <f>'PLAN. ORÇAMENTÁRIA'!I105</f>
        <v>48921.48</v>
      </c>
    </row>
    <row r="23" spans="2:34" ht="27.75" customHeight="1" x14ac:dyDescent="0.25">
      <c r="B23" s="196" t="s">
        <v>408</v>
      </c>
      <c r="C23" s="201" t="str">
        <f>'PLAN. ORÇAMENTÁRIA'!C107:I107</f>
        <v>SERVIÇOS FINAIS</v>
      </c>
      <c r="D23" s="201"/>
      <c r="E23" s="201"/>
      <c r="F23" s="201"/>
      <c r="G23" s="201"/>
      <c r="H23" s="201"/>
      <c r="I23" s="197">
        <f>'PLAN. ORÇAMENTÁRIA'!I110</f>
        <v>2314.3000000000002</v>
      </c>
    </row>
    <row r="24" spans="2:34" ht="13.5" thickBot="1" x14ac:dyDescent="0.3">
      <c r="B24" s="187"/>
      <c r="C24" s="187"/>
      <c r="D24" s="198"/>
      <c r="E24" s="187"/>
      <c r="F24" s="187"/>
      <c r="G24" s="193"/>
      <c r="H24" s="193"/>
      <c r="I24" s="193"/>
    </row>
    <row r="25" spans="2:34" ht="36" customHeight="1" thickBot="1" x14ac:dyDescent="0.3">
      <c r="B25" s="202" t="s">
        <v>18</v>
      </c>
      <c r="C25" s="203"/>
      <c r="D25" s="203"/>
      <c r="E25" s="203"/>
      <c r="F25" s="203"/>
      <c r="G25" s="204"/>
      <c r="H25" s="205">
        <f>SUM(I13:I23)</f>
        <v>140632.80999999997</v>
      </c>
      <c r="I25" s="206"/>
      <c r="K25" s="190"/>
    </row>
    <row r="30" spans="2:34" s="187" customFormat="1" x14ac:dyDescent="0.25">
      <c r="B30" s="188"/>
      <c r="C30" s="188"/>
      <c r="D30" s="189"/>
      <c r="E30" s="188"/>
      <c r="F30" s="188"/>
      <c r="G30" s="190"/>
      <c r="H30" s="190"/>
      <c r="I30" s="199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</row>
    <row r="32" spans="2:34" s="187" customFormat="1" x14ac:dyDescent="0.25">
      <c r="B32" s="188"/>
      <c r="C32" s="188"/>
      <c r="D32" s="189"/>
      <c r="E32" s="188"/>
      <c r="F32" s="200"/>
      <c r="G32" s="190"/>
      <c r="H32" s="190"/>
      <c r="I32" s="190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</row>
  </sheetData>
  <mergeCells count="25">
    <mergeCell ref="D2:H5"/>
    <mergeCell ref="I2:I5"/>
    <mergeCell ref="J2:J3"/>
    <mergeCell ref="C7:G7"/>
    <mergeCell ref="H7:H8"/>
    <mergeCell ref="I7:I8"/>
    <mergeCell ref="C8:G8"/>
    <mergeCell ref="C19:H19"/>
    <mergeCell ref="C9:G9"/>
    <mergeCell ref="H9:H10"/>
    <mergeCell ref="I9:I10"/>
    <mergeCell ref="C10:G10"/>
    <mergeCell ref="C12:H12"/>
    <mergeCell ref="C13:H13"/>
    <mergeCell ref="C14:H14"/>
    <mergeCell ref="C15:H15"/>
    <mergeCell ref="C16:H16"/>
    <mergeCell ref="C17:H17"/>
    <mergeCell ref="C18:H18"/>
    <mergeCell ref="C20:H20"/>
    <mergeCell ref="C21:H21"/>
    <mergeCell ref="C22:H22"/>
    <mergeCell ref="B25:G25"/>
    <mergeCell ref="H25:I25"/>
    <mergeCell ref="C23:H23"/>
  </mergeCells>
  <printOptions horizontalCentered="1" verticalCentered="1"/>
  <pageMargins left="0.23622047244094491" right="0.23622047244094491" top="0.2" bottom="0.16" header="0.15" footer="0.16"/>
  <pageSetup paperSize="9" scale="94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119"/>
  <sheetViews>
    <sheetView view="pageBreakPreview" zoomScaleNormal="85" zoomScaleSheetLayoutView="100" workbookViewId="0">
      <selection activeCell="H112" sqref="H112:I112"/>
    </sheetView>
  </sheetViews>
  <sheetFormatPr defaultColWidth="9.28515625" defaultRowHeight="12.75" x14ac:dyDescent="0.25"/>
  <cols>
    <col min="1" max="1" width="4.7109375" style="93" customWidth="1"/>
    <col min="2" max="2" width="6.5703125" style="92" bestFit="1" customWidth="1"/>
    <col min="3" max="3" width="10.85546875" style="92" bestFit="1" customWidth="1"/>
    <col min="4" max="4" width="67.7109375" style="101" customWidth="1"/>
    <col min="5" max="5" width="7" style="92" bestFit="1" customWidth="1"/>
    <col min="6" max="6" width="9.7109375" style="92" bestFit="1" customWidth="1"/>
    <col min="7" max="7" width="18.7109375" style="127" customWidth="1"/>
    <col min="8" max="8" width="14.85546875" style="127" customWidth="1"/>
    <col min="9" max="9" width="19.28515625" style="127" customWidth="1"/>
    <col min="10" max="10" width="1.28515625" style="93" customWidth="1"/>
    <col min="11" max="11" width="21.7109375" style="92" customWidth="1"/>
    <col min="12" max="16384" width="9.28515625" style="92"/>
  </cols>
  <sheetData>
    <row r="1" spans="1:34" ht="13.5" thickBot="1" x14ac:dyDescent="0.3"/>
    <row r="2" spans="1:34" ht="15" customHeight="1" x14ac:dyDescent="0.25">
      <c r="B2" s="128"/>
      <c r="C2" s="129"/>
      <c r="D2" s="225" t="s">
        <v>117</v>
      </c>
      <c r="E2" s="225"/>
      <c r="F2" s="225"/>
      <c r="G2" s="225"/>
      <c r="H2" s="226"/>
      <c r="I2" s="216" t="s">
        <v>400</v>
      </c>
      <c r="J2" s="242"/>
    </row>
    <row r="3" spans="1:34" ht="23.25" customHeight="1" x14ac:dyDescent="0.25">
      <c r="B3" s="130"/>
      <c r="C3" s="131"/>
      <c r="D3" s="227"/>
      <c r="E3" s="227"/>
      <c r="F3" s="227"/>
      <c r="G3" s="227"/>
      <c r="H3" s="228"/>
      <c r="I3" s="217"/>
      <c r="J3" s="242"/>
    </row>
    <row r="4" spans="1:34" ht="15" customHeight="1" x14ac:dyDescent="0.25">
      <c r="B4" s="130"/>
      <c r="C4" s="131"/>
      <c r="D4" s="227"/>
      <c r="E4" s="227"/>
      <c r="F4" s="227"/>
      <c r="G4" s="227"/>
      <c r="H4" s="228"/>
      <c r="I4" s="217"/>
      <c r="J4" s="132">
        <v>0.24510000000000001</v>
      </c>
    </row>
    <row r="5" spans="1:34" ht="33" customHeight="1" thickBot="1" x14ac:dyDescent="0.3">
      <c r="B5" s="133"/>
      <c r="C5" s="134"/>
      <c r="D5" s="229"/>
      <c r="E5" s="229"/>
      <c r="F5" s="229"/>
      <c r="G5" s="229"/>
      <c r="H5" s="230"/>
      <c r="I5" s="218"/>
      <c r="J5" s="135"/>
    </row>
    <row r="6" spans="1:34" ht="30.75" customHeight="1" thickBot="1" x14ac:dyDescent="0.3">
      <c r="B6" s="93"/>
      <c r="C6" s="93"/>
      <c r="D6" s="136"/>
      <c r="E6" s="93"/>
      <c r="F6" s="93"/>
      <c r="G6" s="137"/>
      <c r="H6" s="137"/>
      <c r="I6" s="137"/>
    </row>
    <row r="7" spans="1:34" ht="53.25" customHeight="1" thickBot="1" x14ac:dyDescent="0.3">
      <c r="B7" s="138" t="s">
        <v>2</v>
      </c>
      <c r="C7" s="138" t="s">
        <v>118</v>
      </c>
      <c r="D7" s="139" t="s">
        <v>3</v>
      </c>
      <c r="E7" s="140" t="s">
        <v>4</v>
      </c>
      <c r="F7" s="140" t="s">
        <v>58</v>
      </c>
      <c r="G7" s="141" t="s">
        <v>60</v>
      </c>
      <c r="H7" s="142" t="s">
        <v>401</v>
      </c>
      <c r="I7" s="143" t="s">
        <v>5</v>
      </c>
    </row>
    <row r="8" spans="1:34" ht="27.75" customHeight="1" x14ac:dyDescent="0.25">
      <c r="B8" s="144">
        <v>1</v>
      </c>
      <c r="C8" s="244" t="s">
        <v>55</v>
      </c>
      <c r="D8" s="245"/>
      <c r="E8" s="245"/>
      <c r="F8" s="245"/>
      <c r="G8" s="245"/>
      <c r="H8" s="245"/>
      <c r="I8" s="246"/>
    </row>
    <row r="9" spans="1:34" ht="27.75" customHeight="1" x14ac:dyDescent="0.25">
      <c r="B9" s="145" t="s">
        <v>62</v>
      </c>
      <c r="C9" s="74">
        <v>90778</v>
      </c>
      <c r="D9" s="91" t="s">
        <v>56</v>
      </c>
      <c r="E9" s="74" t="s">
        <v>26</v>
      </c>
      <c r="F9" s="126">
        <f>1*22</f>
        <v>22</v>
      </c>
      <c r="G9" s="75">
        <v>91.99</v>
      </c>
      <c r="H9" s="124">
        <f>G9*1.2835</f>
        <v>118.069165</v>
      </c>
      <c r="I9" s="125">
        <f t="shared" ref="I9:I10" si="0">TRUNC(H9*F9,2)</f>
        <v>2597.52</v>
      </c>
    </row>
    <row r="10" spans="1:34" ht="27.75" customHeight="1" x14ac:dyDescent="0.25">
      <c r="B10" s="145" t="s">
        <v>63</v>
      </c>
      <c r="C10" s="74">
        <v>90776</v>
      </c>
      <c r="D10" s="101" t="s">
        <v>59</v>
      </c>
      <c r="E10" s="74" t="s">
        <v>26</v>
      </c>
      <c r="F10" s="126">
        <f>4*22</f>
        <v>88</v>
      </c>
      <c r="G10" s="75">
        <v>20.72</v>
      </c>
      <c r="H10" s="124">
        <f>G10*1.2835</f>
        <v>26.59412</v>
      </c>
      <c r="I10" s="125">
        <f t="shared" si="0"/>
        <v>2340.2800000000002</v>
      </c>
    </row>
    <row r="11" spans="1:34" s="123" customFormat="1" ht="27.75" customHeight="1" x14ac:dyDescent="0.25">
      <c r="A11" s="93"/>
      <c r="B11" s="240" t="s">
        <v>1</v>
      </c>
      <c r="C11" s="241"/>
      <c r="D11" s="241"/>
      <c r="E11" s="241"/>
      <c r="F11" s="241"/>
      <c r="G11" s="241"/>
      <c r="H11" s="243"/>
      <c r="I11" s="95">
        <f>SUM(I9:I10)</f>
        <v>4937.8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</row>
    <row r="12" spans="1:34" s="93" customFormat="1" ht="27.75" customHeight="1" x14ac:dyDescent="0.25">
      <c r="B12" s="247"/>
      <c r="C12" s="248"/>
      <c r="D12" s="248"/>
      <c r="E12" s="248"/>
      <c r="F12" s="248"/>
      <c r="G12" s="248"/>
      <c r="H12" s="248"/>
      <c r="I12" s="249"/>
    </row>
    <row r="13" spans="1:34" ht="27.75" customHeight="1" x14ac:dyDescent="0.25">
      <c r="A13" s="92"/>
      <c r="B13" s="144">
        <v>2</v>
      </c>
      <c r="C13" s="231" t="s">
        <v>115</v>
      </c>
      <c r="D13" s="232"/>
      <c r="E13" s="232"/>
      <c r="F13" s="232"/>
      <c r="G13" s="232"/>
      <c r="H13" s="232"/>
      <c r="I13" s="233"/>
      <c r="J13" s="92"/>
    </row>
    <row r="14" spans="1:34" ht="27.75" customHeight="1" x14ac:dyDescent="0.25">
      <c r="A14" s="92"/>
      <c r="B14" s="145" t="s">
        <v>64</v>
      </c>
      <c r="C14" s="74" t="s">
        <v>240</v>
      </c>
      <c r="D14" s="91" t="s">
        <v>194</v>
      </c>
      <c r="E14" s="74" t="s">
        <v>30</v>
      </c>
      <c r="F14" s="126">
        <v>1</v>
      </c>
      <c r="G14" s="75">
        <f>'COMP.'!G11</f>
        <v>473.24</v>
      </c>
      <c r="H14" s="124">
        <f>G14*1.2835</f>
        <v>607.40354000000002</v>
      </c>
      <c r="I14" s="125">
        <f t="shared" ref="I14:I19" si="1">TRUNC(H14*F14,2)</f>
        <v>607.4</v>
      </c>
      <c r="J14" s="92"/>
    </row>
    <row r="15" spans="1:34" ht="27.75" customHeight="1" x14ac:dyDescent="0.25">
      <c r="A15" s="92"/>
      <c r="B15" s="145" t="s">
        <v>94</v>
      </c>
      <c r="C15" s="74" t="s">
        <v>241</v>
      </c>
      <c r="D15" s="91" t="s">
        <v>99</v>
      </c>
      <c r="E15" s="74" t="s">
        <v>43</v>
      </c>
      <c r="F15" s="126">
        <f>2*1.8</f>
        <v>3.6</v>
      </c>
      <c r="G15" s="75">
        <f>'COMP.'!G21</f>
        <v>321.61810000000003</v>
      </c>
      <c r="H15" s="124">
        <f t="shared" ref="H15:H19" si="2">G15*1.2835</f>
        <v>412.79683135000005</v>
      </c>
      <c r="I15" s="125">
        <f t="shared" si="1"/>
        <v>1486.06</v>
      </c>
      <c r="J15" s="92"/>
    </row>
    <row r="16" spans="1:34" ht="27.75" customHeight="1" x14ac:dyDescent="0.25">
      <c r="A16" s="92"/>
      <c r="B16" s="145" t="s">
        <v>120</v>
      </c>
      <c r="C16" s="74">
        <v>97622</v>
      </c>
      <c r="D16" s="91" t="s">
        <v>122</v>
      </c>
      <c r="E16" s="74" t="s">
        <v>112</v>
      </c>
      <c r="F16" s="126">
        <f>(6.1*2.1*0.2)</f>
        <v>2.5620000000000003</v>
      </c>
      <c r="G16" s="75">
        <v>39.479999999999997</v>
      </c>
      <c r="H16" s="124">
        <f t="shared" si="2"/>
        <v>50.672579999999996</v>
      </c>
      <c r="I16" s="125">
        <f t="shared" si="1"/>
        <v>129.82</v>
      </c>
      <c r="J16" s="92"/>
    </row>
    <row r="17" spans="1:34" ht="27.75" customHeight="1" x14ac:dyDescent="0.25">
      <c r="A17" s="92"/>
      <c r="B17" s="145" t="s">
        <v>121</v>
      </c>
      <c r="C17" s="74" t="s">
        <v>212</v>
      </c>
      <c r="D17" s="91" t="s">
        <v>97</v>
      </c>
      <c r="E17" s="74" t="s">
        <v>30</v>
      </c>
      <c r="F17" s="126">
        <v>2</v>
      </c>
      <c r="G17" s="75">
        <v>250</v>
      </c>
      <c r="H17" s="124">
        <f t="shared" si="2"/>
        <v>320.875</v>
      </c>
      <c r="I17" s="125">
        <f t="shared" si="1"/>
        <v>641.75</v>
      </c>
      <c r="J17" s="92"/>
    </row>
    <row r="18" spans="1:34" ht="27.75" customHeight="1" x14ac:dyDescent="0.25">
      <c r="B18" s="145" t="s">
        <v>135</v>
      </c>
      <c r="C18" s="74" t="s">
        <v>242</v>
      </c>
      <c r="D18" s="91" t="s">
        <v>87</v>
      </c>
      <c r="E18" s="74" t="s">
        <v>30</v>
      </c>
      <c r="F18" s="126">
        <v>1</v>
      </c>
      <c r="G18" s="75">
        <f>'COMP.'!G27</f>
        <v>808.12</v>
      </c>
      <c r="H18" s="124">
        <f t="shared" si="2"/>
        <v>1037.2220200000002</v>
      </c>
      <c r="I18" s="125">
        <f t="shared" si="1"/>
        <v>1037.22</v>
      </c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</row>
    <row r="19" spans="1:34" ht="27.75" customHeight="1" x14ac:dyDescent="0.25">
      <c r="B19" s="145" t="s">
        <v>137</v>
      </c>
      <c r="C19" s="74">
        <v>93584</v>
      </c>
      <c r="D19" s="91" t="s">
        <v>299</v>
      </c>
      <c r="E19" s="74" t="s">
        <v>43</v>
      </c>
      <c r="F19" s="126">
        <f>3*2.5</f>
        <v>7.5</v>
      </c>
      <c r="G19" s="75">
        <v>796.67</v>
      </c>
      <c r="H19" s="124">
        <f t="shared" si="2"/>
        <v>1022.525945</v>
      </c>
      <c r="I19" s="125">
        <f t="shared" si="1"/>
        <v>7668.94</v>
      </c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</row>
    <row r="20" spans="1:34" s="123" customFormat="1" ht="27.75" customHeight="1" x14ac:dyDescent="0.25">
      <c r="A20" s="93"/>
      <c r="B20" s="240" t="s">
        <v>1</v>
      </c>
      <c r="C20" s="241"/>
      <c r="D20" s="241"/>
      <c r="E20" s="241"/>
      <c r="F20" s="241"/>
      <c r="G20" s="241"/>
      <c r="H20" s="241"/>
      <c r="I20" s="95">
        <f>SUM(I14:I19)</f>
        <v>11571.189999999999</v>
      </c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</row>
    <row r="21" spans="1:34" s="93" customFormat="1" ht="27.75" customHeight="1" x14ac:dyDescent="0.25">
      <c r="B21" s="237"/>
      <c r="C21" s="238"/>
      <c r="D21" s="238"/>
      <c r="E21" s="238"/>
      <c r="F21" s="238"/>
      <c r="G21" s="238"/>
      <c r="H21" s="238"/>
      <c r="I21" s="239"/>
    </row>
    <row r="22" spans="1:34" ht="27.75" customHeight="1" x14ac:dyDescent="0.25">
      <c r="B22" s="144">
        <v>3</v>
      </c>
      <c r="C22" s="231" t="s">
        <v>141</v>
      </c>
      <c r="D22" s="232"/>
      <c r="E22" s="232"/>
      <c r="F22" s="232"/>
      <c r="G22" s="232"/>
      <c r="H22" s="232"/>
      <c r="I22" s="233"/>
    </row>
    <row r="23" spans="1:34" ht="27.75" customHeight="1" x14ac:dyDescent="0.25">
      <c r="B23" s="145" t="s">
        <v>65</v>
      </c>
      <c r="C23" s="96">
        <v>97622</v>
      </c>
      <c r="D23" s="94" t="s">
        <v>122</v>
      </c>
      <c r="E23" s="76" t="s">
        <v>112</v>
      </c>
      <c r="F23" s="146">
        <f>7*2.1*0.25</f>
        <v>3.6750000000000003</v>
      </c>
      <c r="G23" s="76">
        <v>39.479999999999997</v>
      </c>
      <c r="H23" s="124">
        <f>G23*1.2835</f>
        <v>50.672579999999996</v>
      </c>
      <c r="I23" s="125">
        <f t="shared" ref="I23:I37" si="3">TRUNC(H23*F23,2)</f>
        <v>186.22</v>
      </c>
    </row>
    <row r="24" spans="1:34" s="93" customFormat="1" ht="49.5" customHeight="1" x14ac:dyDescent="0.25">
      <c r="B24" s="76" t="s">
        <v>61</v>
      </c>
      <c r="C24" s="96">
        <v>100981</v>
      </c>
      <c r="D24" s="94" t="s">
        <v>144</v>
      </c>
      <c r="E24" s="76" t="s">
        <v>112</v>
      </c>
      <c r="F24" s="146">
        <f>7*2.1*0.25</f>
        <v>3.6750000000000003</v>
      </c>
      <c r="G24" s="76">
        <v>7.42</v>
      </c>
      <c r="H24" s="124">
        <f t="shared" ref="H24:H37" si="4">G24*1.2835</f>
        <v>9.5235700000000012</v>
      </c>
      <c r="I24" s="125">
        <f t="shared" si="3"/>
        <v>34.99</v>
      </c>
    </row>
    <row r="25" spans="1:34" s="93" customFormat="1" ht="27.75" customHeight="1" x14ac:dyDescent="0.25">
      <c r="B25" s="145" t="s">
        <v>66</v>
      </c>
      <c r="C25" s="96">
        <v>96527</v>
      </c>
      <c r="D25" s="94" t="s">
        <v>142</v>
      </c>
      <c r="E25" s="76" t="s">
        <v>112</v>
      </c>
      <c r="F25" s="146">
        <f>6.1*1.5*0.5</f>
        <v>4.5749999999999993</v>
      </c>
      <c r="G25" s="76">
        <v>90.24</v>
      </c>
      <c r="H25" s="124">
        <f t="shared" si="4"/>
        <v>115.82304000000001</v>
      </c>
      <c r="I25" s="125">
        <f t="shared" si="3"/>
        <v>529.89</v>
      </c>
    </row>
    <row r="26" spans="1:34" s="93" customFormat="1" ht="63.75" x14ac:dyDescent="0.25">
      <c r="B26" s="76" t="s">
        <v>67</v>
      </c>
      <c r="C26" s="96">
        <v>101209</v>
      </c>
      <c r="D26" s="94" t="s">
        <v>143</v>
      </c>
      <c r="E26" s="76" t="s">
        <v>112</v>
      </c>
      <c r="F26" s="146">
        <f>1*0.5*1.5</f>
        <v>0.75</v>
      </c>
      <c r="G26" s="76">
        <v>8.43</v>
      </c>
      <c r="H26" s="124">
        <f t="shared" si="4"/>
        <v>10.819905</v>
      </c>
      <c r="I26" s="125">
        <f t="shared" si="3"/>
        <v>8.11</v>
      </c>
    </row>
    <row r="27" spans="1:34" s="93" customFormat="1" ht="41.25" customHeight="1" x14ac:dyDescent="0.25">
      <c r="B27" s="145" t="s">
        <v>154</v>
      </c>
      <c r="C27" s="96">
        <v>92270</v>
      </c>
      <c r="D27" s="94" t="s">
        <v>162</v>
      </c>
      <c r="E27" s="76" t="s">
        <v>43</v>
      </c>
      <c r="F27" s="146">
        <f>6.1*0.25*3</f>
        <v>4.5749999999999993</v>
      </c>
      <c r="G27" s="76">
        <v>133.93</v>
      </c>
      <c r="H27" s="124">
        <f t="shared" si="4"/>
        <v>171.89915500000001</v>
      </c>
      <c r="I27" s="125">
        <f t="shared" si="3"/>
        <v>786.43</v>
      </c>
    </row>
    <row r="28" spans="1:34" s="93" customFormat="1" ht="27.75" customHeight="1" x14ac:dyDescent="0.25">
      <c r="B28" s="76" t="s">
        <v>155</v>
      </c>
      <c r="C28" s="96">
        <v>92263</v>
      </c>
      <c r="D28" s="94" t="s">
        <v>163</v>
      </c>
      <c r="E28" s="76" t="s">
        <v>43</v>
      </c>
      <c r="F28" s="146">
        <f>((0.25+0.25)*2.1)*2</f>
        <v>2.1</v>
      </c>
      <c r="G28" s="76">
        <v>161.68</v>
      </c>
      <c r="H28" s="124">
        <f t="shared" si="4"/>
        <v>207.51628000000002</v>
      </c>
      <c r="I28" s="125">
        <f t="shared" si="3"/>
        <v>435.78</v>
      </c>
    </row>
    <row r="29" spans="1:34" s="93" customFormat="1" ht="50.25" customHeight="1" x14ac:dyDescent="0.25">
      <c r="B29" s="145" t="s">
        <v>68</v>
      </c>
      <c r="C29" s="96">
        <v>92759</v>
      </c>
      <c r="D29" s="94" t="s">
        <v>145</v>
      </c>
      <c r="E29" s="76" t="s">
        <v>84</v>
      </c>
      <c r="F29" s="146">
        <f>(((2.1+2.1+6.1)*1.1)*2)*0.083</f>
        <v>1.8807800000000003</v>
      </c>
      <c r="G29" s="76">
        <v>17.3</v>
      </c>
      <c r="H29" s="124">
        <f t="shared" si="4"/>
        <v>22.204550000000001</v>
      </c>
      <c r="I29" s="125">
        <f t="shared" si="3"/>
        <v>41.76</v>
      </c>
    </row>
    <row r="30" spans="1:34" s="93" customFormat="1" ht="56.25" customHeight="1" x14ac:dyDescent="0.25">
      <c r="B30" s="76" t="s">
        <v>69</v>
      </c>
      <c r="C30" s="96">
        <v>92761</v>
      </c>
      <c r="D30" s="94" t="s">
        <v>146</v>
      </c>
      <c r="E30" s="76" t="s">
        <v>84</v>
      </c>
      <c r="F30" s="146">
        <f>(4*2.58*2*0.4)</f>
        <v>8.2560000000000002</v>
      </c>
      <c r="G30" s="76">
        <v>16.940000000000001</v>
      </c>
      <c r="H30" s="124">
        <f t="shared" si="4"/>
        <v>21.742490000000004</v>
      </c>
      <c r="I30" s="125">
        <f t="shared" si="3"/>
        <v>179.5</v>
      </c>
    </row>
    <row r="31" spans="1:34" s="93" customFormat="1" ht="42.75" customHeight="1" x14ac:dyDescent="0.25">
      <c r="B31" s="145" t="s">
        <v>70</v>
      </c>
      <c r="C31" s="96">
        <v>92762</v>
      </c>
      <c r="D31" s="94" t="s">
        <v>147</v>
      </c>
      <c r="E31" s="76" t="s">
        <v>84</v>
      </c>
      <c r="F31" s="146">
        <f>(4*2.58*2*0.62)</f>
        <v>12.796800000000001</v>
      </c>
      <c r="G31" s="76">
        <v>15.48</v>
      </c>
      <c r="H31" s="124">
        <f t="shared" si="4"/>
        <v>19.868580000000001</v>
      </c>
      <c r="I31" s="125">
        <f t="shared" si="3"/>
        <v>254.25</v>
      </c>
    </row>
    <row r="32" spans="1:34" s="93" customFormat="1" ht="60" customHeight="1" x14ac:dyDescent="0.25">
      <c r="B32" s="76" t="s">
        <v>71</v>
      </c>
      <c r="C32" s="96">
        <v>103322</v>
      </c>
      <c r="D32" s="94" t="s">
        <v>148</v>
      </c>
      <c r="E32" s="76" t="s">
        <v>43</v>
      </c>
      <c r="F32" s="146">
        <f>(6.1*2.1)*1.1</f>
        <v>14.091000000000001</v>
      </c>
      <c r="G32" s="76">
        <v>53.19</v>
      </c>
      <c r="H32" s="124">
        <f t="shared" si="4"/>
        <v>68.269365000000008</v>
      </c>
      <c r="I32" s="125">
        <f t="shared" si="3"/>
        <v>961.98</v>
      </c>
    </row>
    <row r="33" spans="2:9" s="93" customFormat="1" ht="42.75" customHeight="1" x14ac:dyDescent="0.25">
      <c r="B33" s="145" t="s">
        <v>156</v>
      </c>
      <c r="C33" s="96">
        <v>87894</v>
      </c>
      <c r="D33" s="94" t="s">
        <v>149</v>
      </c>
      <c r="E33" s="76" t="s">
        <v>43</v>
      </c>
      <c r="F33" s="146">
        <f>6.1*2.1*2</f>
        <v>25.62</v>
      </c>
      <c r="G33" s="76">
        <v>5.08</v>
      </c>
      <c r="H33" s="124">
        <f t="shared" si="4"/>
        <v>6.5201800000000008</v>
      </c>
      <c r="I33" s="125">
        <f t="shared" si="3"/>
        <v>167.04</v>
      </c>
    </row>
    <row r="34" spans="2:9" s="93" customFormat="1" ht="42.75" customHeight="1" x14ac:dyDescent="0.25">
      <c r="B34" s="76" t="s">
        <v>157</v>
      </c>
      <c r="C34" s="96">
        <v>87775</v>
      </c>
      <c r="D34" s="94" t="s">
        <v>150</v>
      </c>
      <c r="E34" s="76" t="s">
        <v>43</v>
      </c>
      <c r="F34" s="146">
        <f>6.1*2.1*2</f>
        <v>25.62</v>
      </c>
      <c r="G34" s="76">
        <v>44</v>
      </c>
      <c r="H34" s="124">
        <f t="shared" si="4"/>
        <v>56.474000000000004</v>
      </c>
      <c r="I34" s="125">
        <f t="shared" si="3"/>
        <v>1446.86</v>
      </c>
    </row>
    <row r="35" spans="2:9" s="93" customFormat="1" ht="42.75" customHeight="1" x14ac:dyDescent="0.25">
      <c r="B35" s="145" t="s">
        <v>158</v>
      </c>
      <c r="C35" s="96">
        <v>101966</v>
      </c>
      <c r="D35" s="94" t="s">
        <v>151</v>
      </c>
      <c r="E35" s="76" t="s">
        <v>6</v>
      </c>
      <c r="F35" s="146">
        <f>6.1*2</f>
        <v>12.2</v>
      </c>
      <c r="G35" s="76">
        <v>157</v>
      </c>
      <c r="H35" s="124">
        <f t="shared" si="4"/>
        <v>201.5095</v>
      </c>
      <c r="I35" s="125">
        <f t="shared" si="3"/>
        <v>2458.41</v>
      </c>
    </row>
    <row r="36" spans="2:9" s="93" customFormat="1" ht="42.75" customHeight="1" x14ac:dyDescent="0.25">
      <c r="B36" s="76" t="s">
        <v>159</v>
      </c>
      <c r="C36" s="96">
        <v>88415</v>
      </c>
      <c r="D36" s="94" t="s">
        <v>153</v>
      </c>
      <c r="E36" s="76" t="s">
        <v>43</v>
      </c>
      <c r="F36" s="146">
        <f>6.1*2.1*2</f>
        <v>25.62</v>
      </c>
      <c r="G36" s="76">
        <v>1.96</v>
      </c>
      <c r="H36" s="124">
        <f t="shared" si="4"/>
        <v>2.51566</v>
      </c>
      <c r="I36" s="125">
        <f t="shared" si="3"/>
        <v>64.45</v>
      </c>
    </row>
    <row r="37" spans="2:9" s="93" customFormat="1" ht="42.75" customHeight="1" x14ac:dyDescent="0.25">
      <c r="B37" s="145" t="s">
        <v>160</v>
      </c>
      <c r="C37" s="96">
        <v>88489</v>
      </c>
      <c r="D37" s="94" t="s">
        <v>152</v>
      </c>
      <c r="E37" s="76" t="s">
        <v>43</v>
      </c>
      <c r="F37" s="146">
        <f>6.1*2.1*2</f>
        <v>25.62</v>
      </c>
      <c r="G37" s="76">
        <v>12</v>
      </c>
      <c r="H37" s="124">
        <f t="shared" si="4"/>
        <v>15.402000000000001</v>
      </c>
      <c r="I37" s="125">
        <f t="shared" si="3"/>
        <v>394.59</v>
      </c>
    </row>
    <row r="38" spans="2:9" ht="27.75" customHeight="1" x14ac:dyDescent="0.25">
      <c r="B38" s="240" t="s">
        <v>1</v>
      </c>
      <c r="C38" s="241"/>
      <c r="D38" s="241"/>
      <c r="E38" s="241"/>
      <c r="F38" s="241"/>
      <c r="G38" s="241"/>
      <c r="H38" s="241"/>
      <c r="I38" s="95">
        <f>SUM(I23:I37)</f>
        <v>7950.2599999999993</v>
      </c>
    </row>
    <row r="39" spans="2:9" s="93" customFormat="1" ht="27.75" customHeight="1" x14ac:dyDescent="0.25">
      <c r="B39" s="237"/>
      <c r="C39" s="238"/>
      <c r="D39" s="238"/>
      <c r="E39" s="238"/>
      <c r="F39" s="238"/>
      <c r="G39" s="238"/>
      <c r="H39" s="238"/>
      <c r="I39" s="239"/>
    </row>
    <row r="40" spans="2:9" ht="27.75" customHeight="1" x14ac:dyDescent="0.25">
      <c r="B40" s="144">
        <v>4</v>
      </c>
      <c r="C40" s="231" t="s">
        <v>174</v>
      </c>
      <c r="D40" s="232"/>
      <c r="E40" s="232"/>
      <c r="F40" s="232"/>
      <c r="G40" s="232"/>
      <c r="H40" s="232"/>
      <c r="I40" s="233"/>
    </row>
    <row r="41" spans="2:9" ht="27.75" customHeight="1" x14ac:dyDescent="0.25">
      <c r="B41" s="145" t="s">
        <v>72</v>
      </c>
      <c r="C41" s="100" t="s">
        <v>243</v>
      </c>
      <c r="D41" s="94" t="s">
        <v>78</v>
      </c>
      <c r="E41" s="74" t="s">
        <v>6</v>
      </c>
      <c r="F41" s="126">
        <v>30</v>
      </c>
      <c r="G41" s="75">
        <f>'COMP.'!G32</f>
        <v>2.9306999999999999</v>
      </c>
      <c r="H41" s="124">
        <f>G41*1.2555</f>
        <v>3.6794938500000001</v>
      </c>
      <c r="I41" s="125">
        <f t="shared" ref="I41:I45" si="5">TRUNC(H41*F41,2)</f>
        <v>110.38</v>
      </c>
    </row>
    <row r="42" spans="2:9" ht="27.75" customHeight="1" x14ac:dyDescent="0.25">
      <c r="B42" s="145" t="s">
        <v>165</v>
      </c>
      <c r="C42" s="100" t="s">
        <v>244</v>
      </c>
      <c r="D42" s="91" t="s">
        <v>116</v>
      </c>
      <c r="E42" s="74" t="s">
        <v>84</v>
      </c>
      <c r="F42" s="126">
        <v>15</v>
      </c>
      <c r="G42" s="75">
        <f>'COMP.'!G40</f>
        <v>155.60925</v>
      </c>
      <c r="H42" s="124">
        <f>G42*1.2555</f>
        <v>195.36741337500001</v>
      </c>
      <c r="I42" s="125">
        <f t="shared" si="5"/>
        <v>2930.51</v>
      </c>
    </row>
    <row r="43" spans="2:9" ht="30.75" customHeight="1" x14ac:dyDescent="0.25">
      <c r="B43" s="145" t="s">
        <v>167</v>
      </c>
      <c r="C43" s="76">
        <v>94228</v>
      </c>
      <c r="D43" s="91" t="s">
        <v>19</v>
      </c>
      <c r="E43" s="76" t="s">
        <v>6</v>
      </c>
      <c r="F43" s="146">
        <v>30</v>
      </c>
      <c r="G43" s="147">
        <v>82.55</v>
      </c>
      <c r="H43" s="124">
        <f t="shared" ref="H43:H44" si="6">G43*1.2555</f>
        <v>103.641525</v>
      </c>
      <c r="I43" s="125">
        <f t="shared" si="5"/>
        <v>3109.24</v>
      </c>
    </row>
    <row r="44" spans="2:9" ht="31.5" customHeight="1" x14ac:dyDescent="0.25">
      <c r="B44" s="145" t="s">
        <v>350</v>
      </c>
      <c r="C44" s="76">
        <v>94231</v>
      </c>
      <c r="D44" s="91" t="s">
        <v>20</v>
      </c>
      <c r="E44" s="76" t="s">
        <v>6</v>
      </c>
      <c r="F44" s="146">
        <v>20</v>
      </c>
      <c r="G44" s="147">
        <v>48.49</v>
      </c>
      <c r="H44" s="124">
        <f t="shared" si="6"/>
        <v>60.879195000000003</v>
      </c>
      <c r="I44" s="125">
        <f t="shared" si="5"/>
        <v>1217.58</v>
      </c>
    </row>
    <row r="45" spans="2:9" ht="27.75" customHeight="1" x14ac:dyDescent="0.25">
      <c r="B45" s="145" t="s">
        <v>351</v>
      </c>
      <c r="C45" s="148" t="s">
        <v>245</v>
      </c>
      <c r="D45" s="149" t="s">
        <v>180</v>
      </c>
      <c r="E45" s="150" t="s">
        <v>6</v>
      </c>
      <c r="F45" s="151">
        <v>30</v>
      </c>
      <c r="G45" s="152">
        <f>'COMP.'!G46</f>
        <v>8.3267000000000007</v>
      </c>
      <c r="H45" s="124">
        <f t="shared" ref="H45" si="7">G45*1.2555</f>
        <v>10.454171850000002</v>
      </c>
      <c r="I45" s="125">
        <f t="shared" si="5"/>
        <v>313.62</v>
      </c>
    </row>
    <row r="46" spans="2:9" ht="27.75" customHeight="1" x14ac:dyDescent="0.25">
      <c r="B46" s="240" t="s">
        <v>1</v>
      </c>
      <c r="C46" s="241"/>
      <c r="D46" s="241"/>
      <c r="E46" s="241"/>
      <c r="F46" s="241"/>
      <c r="G46" s="241"/>
      <c r="H46" s="241"/>
      <c r="I46" s="95">
        <f>SUM(I41:I45)</f>
        <v>7681.33</v>
      </c>
    </row>
    <row r="47" spans="2:9" ht="27.75" customHeight="1" x14ac:dyDescent="0.25">
      <c r="B47" s="234"/>
      <c r="C47" s="235"/>
      <c r="D47" s="235"/>
      <c r="E47" s="235"/>
      <c r="F47" s="235"/>
      <c r="G47" s="235"/>
      <c r="H47" s="235"/>
      <c r="I47" s="236"/>
    </row>
    <row r="48" spans="2:9" ht="27.75" customHeight="1" x14ac:dyDescent="0.25">
      <c r="B48" s="153">
        <v>5</v>
      </c>
      <c r="C48" s="231" t="s">
        <v>168</v>
      </c>
      <c r="D48" s="232"/>
      <c r="E48" s="232"/>
      <c r="F48" s="232"/>
      <c r="G48" s="232"/>
      <c r="H48" s="232"/>
      <c r="I48" s="233"/>
    </row>
    <row r="49" spans="2:9" ht="27.75" customHeight="1" x14ac:dyDescent="0.25">
      <c r="B49" s="76" t="s">
        <v>73</v>
      </c>
      <c r="C49" s="76">
        <v>97645</v>
      </c>
      <c r="D49" s="94" t="s">
        <v>164</v>
      </c>
      <c r="E49" s="76" t="s">
        <v>43</v>
      </c>
      <c r="F49" s="146">
        <f>1.8*0.5*4</f>
        <v>3.6</v>
      </c>
      <c r="G49" s="147">
        <v>23.93</v>
      </c>
      <c r="H49" s="124">
        <f t="shared" ref="H49:H51" si="8">G49*1.2555</f>
        <v>30.044115000000001</v>
      </c>
      <c r="I49" s="125">
        <f t="shared" ref="I49:I51" si="9">TRUNC(H49*F49,2)</f>
        <v>108.15</v>
      </c>
    </row>
    <row r="50" spans="2:9" ht="62.25" customHeight="1" x14ac:dyDescent="0.25">
      <c r="B50" s="76" t="s">
        <v>74</v>
      </c>
      <c r="C50" s="76">
        <v>94562</v>
      </c>
      <c r="D50" s="94" t="s">
        <v>166</v>
      </c>
      <c r="E50" s="76" t="s">
        <v>43</v>
      </c>
      <c r="F50" s="146">
        <f>1.8*2*4</f>
        <v>14.4</v>
      </c>
      <c r="G50" s="147">
        <v>687.6</v>
      </c>
      <c r="H50" s="124">
        <f t="shared" si="8"/>
        <v>863.28180000000009</v>
      </c>
      <c r="I50" s="125">
        <f t="shared" si="9"/>
        <v>12431.25</v>
      </c>
    </row>
    <row r="51" spans="2:9" ht="56.25" customHeight="1" x14ac:dyDescent="0.25">
      <c r="B51" s="76" t="s">
        <v>352</v>
      </c>
      <c r="C51" s="96">
        <v>87775</v>
      </c>
      <c r="D51" s="94" t="s">
        <v>150</v>
      </c>
      <c r="E51" s="76" t="s">
        <v>43</v>
      </c>
      <c r="F51" s="146">
        <f>((2+1.2)*2*4)*0.25</f>
        <v>6.4</v>
      </c>
      <c r="G51" s="154">
        <v>44</v>
      </c>
      <c r="H51" s="124">
        <f t="shared" si="8"/>
        <v>55.242000000000004</v>
      </c>
      <c r="I51" s="125">
        <f t="shared" si="9"/>
        <v>353.54</v>
      </c>
    </row>
    <row r="52" spans="2:9" ht="27.75" customHeight="1" x14ac:dyDescent="0.25">
      <c r="B52" s="240" t="s">
        <v>1</v>
      </c>
      <c r="C52" s="241"/>
      <c r="D52" s="241"/>
      <c r="E52" s="241"/>
      <c r="F52" s="241"/>
      <c r="G52" s="241"/>
      <c r="H52" s="241"/>
      <c r="I52" s="95">
        <f>SUM(I49:I51)</f>
        <v>12892.94</v>
      </c>
    </row>
    <row r="53" spans="2:9" ht="27.75" customHeight="1" x14ac:dyDescent="0.25">
      <c r="B53" s="234"/>
      <c r="C53" s="235"/>
      <c r="D53" s="235"/>
      <c r="E53" s="235"/>
      <c r="F53" s="235"/>
      <c r="G53" s="235"/>
      <c r="H53" s="235"/>
      <c r="I53" s="236"/>
    </row>
    <row r="54" spans="2:9" ht="27.75" customHeight="1" x14ac:dyDescent="0.25">
      <c r="B54" s="153">
        <v>6</v>
      </c>
      <c r="C54" s="231" t="s">
        <v>178</v>
      </c>
      <c r="D54" s="232"/>
      <c r="E54" s="232"/>
      <c r="F54" s="232"/>
      <c r="G54" s="232"/>
      <c r="H54" s="232"/>
      <c r="I54" s="233"/>
    </row>
    <row r="55" spans="2:9" ht="27.75" customHeight="1" x14ac:dyDescent="0.25">
      <c r="B55" s="76" t="s">
        <v>75</v>
      </c>
      <c r="C55" s="76">
        <v>100717</v>
      </c>
      <c r="D55" s="94" t="s">
        <v>176</v>
      </c>
      <c r="E55" s="76" t="s">
        <v>43</v>
      </c>
      <c r="F55" s="146">
        <v>125</v>
      </c>
      <c r="G55" s="147">
        <v>6.95</v>
      </c>
      <c r="H55" s="124">
        <f t="shared" ref="H55:H56" si="10">G55*1.2555</f>
        <v>8.7257250000000006</v>
      </c>
      <c r="I55" s="125">
        <f t="shared" ref="I55:I56" si="11">TRUNC(H55*F55,2)</f>
        <v>1090.71</v>
      </c>
    </row>
    <row r="56" spans="2:9" ht="39.75" customHeight="1" x14ac:dyDescent="0.25">
      <c r="B56" s="76" t="s">
        <v>76</v>
      </c>
      <c r="C56" s="76">
        <v>100721</v>
      </c>
      <c r="D56" s="94" t="s">
        <v>177</v>
      </c>
      <c r="E56" s="76" t="s">
        <v>43</v>
      </c>
      <c r="F56" s="146">
        <v>125</v>
      </c>
      <c r="G56" s="147">
        <v>17.489999999999998</v>
      </c>
      <c r="H56" s="124">
        <f t="shared" si="10"/>
        <v>21.958694999999999</v>
      </c>
      <c r="I56" s="125">
        <f t="shared" si="11"/>
        <v>2744.83</v>
      </c>
    </row>
    <row r="57" spans="2:9" ht="27.75" customHeight="1" x14ac:dyDescent="0.25">
      <c r="B57" s="240" t="s">
        <v>1</v>
      </c>
      <c r="C57" s="241"/>
      <c r="D57" s="241"/>
      <c r="E57" s="241"/>
      <c r="F57" s="241"/>
      <c r="G57" s="241"/>
      <c r="H57" s="241"/>
      <c r="I57" s="95">
        <f>SUM(I55:I56)</f>
        <v>3835.54</v>
      </c>
    </row>
    <row r="58" spans="2:9" ht="27.75" customHeight="1" x14ac:dyDescent="0.25">
      <c r="B58" s="237"/>
      <c r="C58" s="238"/>
      <c r="D58" s="238"/>
      <c r="E58" s="238"/>
      <c r="F58" s="238"/>
      <c r="G58" s="238"/>
      <c r="H58" s="238"/>
      <c r="I58" s="239"/>
    </row>
    <row r="59" spans="2:9" ht="27.75" customHeight="1" x14ac:dyDescent="0.25">
      <c r="B59" s="153">
        <v>7</v>
      </c>
      <c r="C59" s="231" t="s">
        <v>161</v>
      </c>
      <c r="D59" s="232"/>
      <c r="E59" s="232"/>
      <c r="F59" s="232"/>
      <c r="G59" s="232"/>
      <c r="H59" s="232"/>
      <c r="I59" s="233"/>
    </row>
    <row r="60" spans="2:9" ht="27.75" customHeight="1" x14ac:dyDescent="0.25">
      <c r="B60" s="76" t="s">
        <v>139</v>
      </c>
      <c r="C60" s="76">
        <v>97665</v>
      </c>
      <c r="D60" s="94" t="s">
        <v>175</v>
      </c>
      <c r="E60" s="76" t="s">
        <v>12</v>
      </c>
      <c r="F60" s="146">
        <f>F61+F62</f>
        <v>14</v>
      </c>
      <c r="G60" s="147">
        <v>0.89</v>
      </c>
      <c r="H60" s="124">
        <f t="shared" ref="H60" si="12">G60*1.2555</f>
        <v>1.1173950000000001</v>
      </c>
      <c r="I60" s="125">
        <f t="shared" ref="I60:I63" si="13">TRUNC(H60*F60,2)</f>
        <v>15.64</v>
      </c>
    </row>
    <row r="61" spans="2:9" ht="27.75" customHeight="1" x14ac:dyDescent="0.25">
      <c r="B61" s="76" t="s">
        <v>140</v>
      </c>
      <c r="C61" s="76" t="s">
        <v>246</v>
      </c>
      <c r="D61" s="94" t="s">
        <v>170</v>
      </c>
      <c r="E61" s="76" t="s">
        <v>12</v>
      </c>
      <c r="F61" s="146">
        <v>6</v>
      </c>
      <c r="G61" s="147">
        <v>214.1</v>
      </c>
      <c r="H61" s="124">
        <f t="shared" ref="H61" si="14">G61*1.2555</f>
        <v>268.80255</v>
      </c>
      <c r="I61" s="125">
        <f t="shared" si="13"/>
        <v>1612.81</v>
      </c>
    </row>
    <row r="62" spans="2:9" ht="29.25" customHeight="1" x14ac:dyDescent="0.25">
      <c r="B62" s="76" t="s">
        <v>308</v>
      </c>
      <c r="C62" s="76" t="s">
        <v>247</v>
      </c>
      <c r="D62" s="94" t="s">
        <v>169</v>
      </c>
      <c r="E62" s="76" t="s">
        <v>12</v>
      </c>
      <c r="F62" s="146">
        <v>8</v>
      </c>
      <c r="G62" s="147">
        <v>214.1</v>
      </c>
      <c r="H62" s="124">
        <f t="shared" ref="H62" si="15">G62*1.2555</f>
        <v>268.80255</v>
      </c>
      <c r="I62" s="125">
        <f t="shared" si="13"/>
        <v>2150.42</v>
      </c>
    </row>
    <row r="63" spans="2:9" ht="33.75" customHeight="1" x14ac:dyDescent="0.25">
      <c r="B63" s="76" t="s">
        <v>309</v>
      </c>
      <c r="C63" s="76" t="s">
        <v>248</v>
      </c>
      <c r="D63" s="94" t="s">
        <v>300</v>
      </c>
      <c r="E63" s="76" t="s">
        <v>12</v>
      </c>
      <c r="F63" s="146">
        <v>2</v>
      </c>
      <c r="G63" s="147">
        <v>30.57</v>
      </c>
      <c r="H63" s="124">
        <f t="shared" ref="H63" si="16">G63*1.2555</f>
        <v>38.380635000000005</v>
      </c>
      <c r="I63" s="125">
        <f t="shared" si="13"/>
        <v>76.760000000000005</v>
      </c>
    </row>
    <row r="64" spans="2:9" ht="27.75" customHeight="1" x14ac:dyDescent="0.25">
      <c r="B64" s="240" t="s">
        <v>1</v>
      </c>
      <c r="C64" s="241"/>
      <c r="D64" s="241"/>
      <c r="E64" s="241"/>
      <c r="F64" s="241"/>
      <c r="G64" s="241"/>
      <c r="H64" s="241"/>
      <c r="I64" s="95">
        <f>SUM(I60:I63)</f>
        <v>3855.63</v>
      </c>
    </row>
    <row r="65" spans="2:9" ht="27.75" customHeight="1" x14ac:dyDescent="0.25">
      <c r="B65" s="237"/>
      <c r="C65" s="238"/>
      <c r="D65" s="238"/>
      <c r="E65" s="238"/>
      <c r="F65" s="238"/>
      <c r="G65" s="238"/>
      <c r="H65" s="238"/>
      <c r="I65" s="239"/>
    </row>
    <row r="66" spans="2:9" ht="27.75" customHeight="1" x14ac:dyDescent="0.25">
      <c r="B66" s="234"/>
      <c r="C66" s="235"/>
      <c r="D66" s="235"/>
      <c r="E66" s="235"/>
      <c r="F66" s="235"/>
      <c r="G66" s="235"/>
      <c r="H66" s="235"/>
      <c r="I66" s="236"/>
    </row>
    <row r="67" spans="2:9" ht="27.75" customHeight="1" x14ac:dyDescent="0.25">
      <c r="B67" s="155">
        <v>8</v>
      </c>
      <c r="C67" s="232" t="s">
        <v>179</v>
      </c>
      <c r="D67" s="232"/>
      <c r="E67" s="232"/>
      <c r="F67" s="232"/>
      <c r="G67" s="232"/>
      <c r="H67" s="232"/>
      <c r="I67" s="233"/>
    </row>
    <row r="68" spans="2:9" ht="39.75" customHeight="1" x14ac:dyDescent="0.25">
      <c r="B68" s="76" t="s">
        <v>321</v>
      </c>
      <c r="C68" s="76">
        <v>91933</v>
      </c>
      <c r="D68" s="91" t="s">
        <v>184</v>
      </c>
      <c r="E68" s="145" t="s">
        <v>6</v>
      </c>
      <c r="F68" s="126">
        <f>42+21</f>
        <v>63</v>
      </c>
      <c r="G68" s="147">
        <v>16.329999999999998</v>
      </c>
      <c r="H68" s="124">
        <f t="shared" ref="H68" si="17">G68*1.2555</f>
        <v>20.502314999999999</v>
      </c>
      <c r="I68" s="125">
        <f t="shared" ref="I68:I78" si="18">TRUNC(H68*F68,2)</f>
        <v>1291.6400000000001</v>
      </c>
    </row>
    <row r="69" spans="2:9" ht="36.75" customHeight="1" x14ac:dyDescent="0.25">
      <c r="B69" s="145" t="s">
        <v>322</v>
      </c>
      <c r="C69" s="145">
        <v>91935</v>
      </c>
      <c r="D69" s="160" t="s">
        <v>185</v>
      </c>
      <c r="E69" s="145" t="s">
        <v>6</v>
      </c>
      <c r="F69" s="145">
        <f>38+66+115+66+45+25+23+18</f>
        <v>396</v>
      </c>
      <c r="G69" s="161">
        <v>24.94</v>
      </c>
      <c r="H69" s="124">
        <f t="shared" ref="H69" si="19">G69*1.2555</f>
        <v>31.312170000000002</v>
      </c>
      <c r="I69" s="125">
        <f t="shared" si="18"/>
        <v>12399.61</v>
      </c>
    </row>
    <row r="70" spans="2:9" ht="33" customHeight="1" x14ac:dyDescent="0.25">
      <c r="B70" s="76" t="s">
        <v>323</v>
      </c>
      <c r="C70" s="145">
        <v>92988</v>
      </c>
      <c r="D70" s="160" t="s">
        <v>186</v>
      </c>
      <c r="E70" s="145" t="s">
        <v>6</v>
      </c>
      <c r="F70" s="145">
        <v>78</v>
      </c>
      <c r="G70" s="161">
        <v>56.31</v>
      </c>
      <c r="H70" s="124">
        <f t="shared" ref="H70" si="20">G70*1.2555</f>
        <v>70.697205000000011</v>
      </c>
      <c r="I70" s="125">
        <f t="shared" si="18"/>
        <v>5514.38</v>
      </c>
    </row>
    <row r="71" spans="2:9" ht="33" customHeight="1" x14ac:dyDescent="0.25">
      <c r="B71" s="76" t="s">
        <v>324</v>
      </c>
      <c r="C71" s="145" t="s">
        <v>249</v>
      </c>
      <c r="D71" s="160" t="s">
        <v>187</v>
      </c>
      <c r="E71" s="74" t="s">
        <v>30</v>
      </c>
      <c r="F71" s="145">
        <v>16</v>
      </c>
      <c r="G71" s="162">
        <f>'COMP.'!G72</f>
        <v>194.29040000000001</v>
      </c>
      <c r="H71" s="124">
        <f t="shared" ref="H71:H76" si="21">G71*1.2555</f>
        <v>243.93159720000003</v>
      </c>
      <c r="I71" s="125">
        <f t="shared" si="18"/>
        <v>3902.9</v>
      </c>
    </row>
    <row r="72" spans="2:9" ht="33" customHeight="1" x14ac:dyDescent="0.25">
      <c r="B72" s="145" t="s">
        <v>325</v>
      </c>
      <c r="C72" s="145" t="s">
        <v>250</v>
      </c>
      <c r="D72" s="160" t="s">
        <v>207</v>
      </c>
      <c r="E72" s="74" t="s">
        <v>30</v>
      </c>
      <c r="F72" s="145">
        <v>16</v>
      </c>
      <c r="G72" s="162">
        <f>'COMP.'!G79</f>
        <v>164.03040000000001</v>
      </c>
      <c r="H72" s="124">
        <f t="shared" si="21"/>
        <v>205.94016720000002</v>
      </c>
      <c r="I72" s="125">
        <f t="shared" si="18"/>
        <v>3295.04</v>
      </c>
    </row>
    <row r="73" spans="2:9" ht="33" customHeight="1" x14ac:dyDescent="0.25">
      <c r="B73" s="76" t="s">
        <v>326</v>
      </c>
      <c r="C73" s="145" t="s">
        <v>251</v>
      </c>
      <c r="D73" s="160" t="s">
        <v>213</v>
      </c>
      <c r="E73" s="74" t="s">
        <v>30</v>
      </c>
      <c r="F73" s="145">
        <v>9</v>
      </c>
      <c r="G73" s="162">
        <f>'COMP.'!G85</f>
        <v>421.18</v>
      </c>
      <c r="H73" s="124">
        <f t="shared" si="21"/>
        <v>528.79149000000007</v>
      </c>
      <c r="I73" s="125">
        <f t="shared" si="18"/>
        <v>4759.12</v>
      </c>
    </row>
    <row r="74" spans="2:9" ht="41.25" customHeight="1" x14ac:dyDescent="0.25">
      <c r="B74" s="76" t="s">
        <v>327</v>
      </c>
      <c r="C74" s="145" t="s">
        <v>252</v>
      </c>
      <c r="D74" s="160" t="s">
        <v>216</v>
      </c>
      <c r="E74" s="74" t="s">
        <v>30</v>
      </c>
      <c r="F74" s="145">
        <f>12+12</f>
        <v>24</v>
      </c>
      <c r="G74" s="162">
        <f>'COMP.'!G90</f>
        <v>14.415600000000001</v>
      </c>
      <c r="H74" s="124">
        <f t="shared" si="21"/>
        <v>18.098785800000002</v>
      </c>
      <c r="I74" s="125">
        <f t="shared" si="18"/>
        <v>434.37</v>
      </c>
    </row>
    <row r="75" spans="2:9" ht="33" customHeight="1" x14ac:dyDescent="0.25">
      <c r="B75" s="145" t="s">
        <v>402</v>
      </c>
      <c r="C75" s="145" t="s">
        <v>253</v>
      </c>
      <c r="D75" s="160" t="s">
        <v>217</v>
      </c>
      <c r="E75" s="74" t="s">
        <v>30</v>
      </c>
      <c r="F75" s="145">
        <f>12</f>
        <v>12</v>
      </c>
      <c r="G75" s="162">
        <f>'COMP.'!G100</f>
        <v>14.415600000000001</v>
      </c>
      <c r="H75" s="124">
        <f t="shared" si="21"/>
        <v>18.098785800000002</v>
      </c>
      <c r="I75" s="125">
        <f t="shared" si="18"/>
        <v>217.18</v>
      </c>
    </row>
    <row r="76" spans="2:9" ht="33" customHeight="1" x14ac:dyDescent="0.25">
      <c r="B76" s="76" t="s">
        <v>403</v>
      </c>
      <c r="C76" s="145" t="s">
        <v>254</v>
      </c>
      <c r="D76" s="160" t="s">
        <v>219</v>
      </c>
      <c r="E76" s="74" t="s">
        <v>30</v>
      </c>
      <c r="F76" s="145">
        <v>12</v>
      </c>
      <c r="G76" s="162">
        <f>'COMP.'!G100</f>
        <v>14.415600000000001</v>
      </c>
      <c r="H76" s="124">
        <f t="shared" si="21"/>
        <v>18.098785800000002</v>
      </c>
      <c r="I76" s="125">
        <f t="shared" si="18"/>
        <v>217.18</v>
      </c>
    </row>
    <row r="77" spans="2:9" ht="33" customHeight="1" x14ac:dyDescent="0.25">
      <c r="B77" s="76" t="s">
        <v>404</v>
      </c>
      <c r="C77" s="145">
        <v>97660</v>
      </c>
      <c r="D77" s="160" t="s">
        <v>274</v>
      </c>
      <c r="E77" s="74" t="s">
        <v>30</v>
      </c>
      <c r="F77" s="145">
        <v>20</v>
      </c>
      <c r="G77" s="162">
        <v>0.46</v>
      </c>
      <c r="H77" s="124">
        <f t="shared" ref="H77" si="22">G77*1.2555</f>
        <v>0.5775300000000001</v>
      </c>
      <c r="I77" s="125">
        <f t="shared" si="18"/>
        <v>11.55</v>
      </c>
    </row>
    <row r="78" spans="2:9" ht="33" customHeight="1" x14ac:dyDescent="0.25">
      <c r="B78" s="145" t="s">
        <v>405</v>
      </c>
      <c r="C78" s="145">
        <v>91996</v>
      </c>
      <c r="D78" s="160" t="s">
        <v>275</v>
      </c>
      <c r="E78" s="74" t="s">
        <v>231</v>
      </c>
      <c r="F78" s="145">
        <v>20</v>
      </c>
      <c r="G78" s="162">
        <v>23.74</v>
      </c>
      <c r="H78" s="124">
        <f t="shared" ref="H78" si="23">G78*1.2555</f>
        <v>29.805569999999999</v>
      </c>
      <c r="I78" s="125">
        <f t="shared" si="18"/>
        <v>596.11</v>
      </c>
    </row>
    <row r="79" spans="2:9" ht="27.75" customHeight="1" x14ac:dyDescent="0.25">
      <c r="B79" s="240" t="s">
        <v>1</v>
      </c>
      <c r="C79" s="241"/>
      <c r="D79" s="241"/>
      <c r="E79" s="241"/>
      <c r="F79" s="241"/>
      <c r="G79" s="241"/>
      <c r="H79" s="241"/>
      <c r="I79" s="95">
        <f>SUM(I68:I78)</f>
        <v>32639.08</v>
      </c>
    </row>
    <row r="80" spans="2:9" ht="27.75" customHeight="1" x14ac:dyDescent="0.25">
      <c r="B80" s="175"/>
      <c r="C80" s="176"/>
      <c r="D80" s="176"/>
      <c r="E80" s="176"/>
      <c r="F80" s="176"/>
      <c r="G80" s="176"/>
      <c r="H80" s="176"/>
      <c r="I80" s="177"/>
    </row>
    <row r="81" spans="2:9" ht="27.75" customHeight="1" x14ac:dyDescent="0.25">
      <c r="B81" s="155">
        <v>9</v>
      </c>
      <c r="C81" s="232" t="s">
        <v>307</v>
      </c>
      <c r="D81" s="232"/>
      <c r="E81" s="232"/>
      <c r="F81" s="232"/>
      <c r="G81" s="232"/>
      <c r="H81" s="232"/>
      <c r="I81" s="233"/>
    </row>
    <row r="82" spans="2:9" ht="27.75" customHeight="1" x14ac:dyDescent="0.25">
      <c r="B82" s="76" t="s">
        <v>328</v>
      </c>
      <c r="C82" s="76">
        <v>96974</v>
      </c>
      <c r="D82" s="91" t="s">
        <v>311</v>
      </c>
      <c r="E82" s="145" t="s">
        <v>6</v>
      </c>
      <c r="F82" s="126">
        <v>8</v>
      </c>
      <c r="G82" s="147">
        <v>64.64</v>
      </c>
      <c r="H82" s="124">
        <f t="shared" ref="H82:H86" si="24">G82*1.2555</f>
        <v>81.15552000000001</v>
      </c>
      <c r="I82" s="125">
        <f t="shared" ref="I82:I90" si="25">TRUNC(H82*F82,2)</f>
        <v>649.24</v>
      </c>
    </row>
    <row r="83" spans="2:9" ht="27.75" customHeight="1" x14ac:dyDescent="0.25">
      <c r="B83" s="145" t="s">
        <v>329</v>
      </c>
      <c r="C83" s="145">
        <v>96984</v>
      </c>
      <c r="D83" s="160" t="s">
        <v>312</v>
      </c>
      <c r="E83" s="145" t="s">
        <v>30</v>
      </c>
      <c r="F83" s="145">
        <v>4</v>
      </c>
      <c r="G83" s="161">
        <v>46.02</v>
      </c>
      <c r="H83" s="124">
        <f t="shared" si="24"/>
        <v>57.778110000000005</v>
      </c>
      <c r="I83" s="125">
        <f t="shared" si="25"/>
        <v>231.11</v>
      </c>
    </row>
    <row r="84" spans="2:9" ht="27.75" customHeight="1" x14ac:dyDescent="0.25">
      <c r="B84" s="76" t="s">
        <v>330</v>
      </c>
      <c r="C84" s="145">
        <v>96985</v>
      </c>
      <c r="D84" s="160" t="s">
        <v>313</v>
      </c>
      <c r="E84" s="145" t="s">
        <v>30</v>
      </c>
      <c r="F84" s="145">
        <v>4</v>
      </c>
      <c r="G84" s="161">
        <v>56.31</v>
      </c>
      <c r="H84" s="124">
        <f t="shared" si="24"/>
        <v>70.697205000000011</v>
      </c>
      <c r="I84" s="125">
        <f t="shared" si="25"/>
        <v>282.77999999999997</v>
      </c>
    </row>
    <row r="85" spans="2:9" ht="27.75" customHeight="1" x14ac:dyDescent="0.25">
      <c r="B85" s="76" t="s">
        <v>331</v>
      </c>
      <c r="C85" s="145">
        <v>96987</v>
      </c>
      <c r="D85" s="160" t="s">
        <v>314</v>
      </c>
      <c r="E85" s="74" t="s">
        <v>30</v>
      </c>
      <c r="F85" s="145">
        <v>4</v>
      </c>
      <c r="G85" s="162">
        <v>93.79</v>
      </c>
      <c r="H85" s="124">
        <f t="shared" si="24"/>
        <v>117.75334500000001</v>
      </c>
      <c r="I85" s="125">
        <f t="shared" si="25"/>
        <v>471.01</v>
      </c>
    </row>
    <row r="86" spans="2:9" ht="27.75" customHeight="1" x14ac:dyDescent="0.25">
      <c r="B86" s="145" t="s">
        <v>332</v>
      </c>
      <c r="C86" s="145">
        <v>96988</v>
      </c>
      <c r="D86" s="160" t="s">
        <v>315</v>
      </c>
      <c r="E86" s="74" t="s">
        <v>30</v>
      </c>
      <c r="F86" s="145">
        <v>4</v>
      </c>
      <c r="G86" s="162">
        <v>166.43</v>
      </c>
      <c r="H86" s="124">
        <f t="shared" si="24"/>
        <v>208.95286500000003</v>
      </c>
      <c r="I86" s="125">
        <f t="shared" si="25"/>
        <v>835.81</v>
      </c>
    </row>
    <row r="87" spans="2:9" ht="27.75" customHeight="1" x14ac:dyDescent="0.25">
      <c r="B87" s="76" t="s">
        <v>333</v>
      </c>
      <c r="C87" s="145">
        <v>96989</v>
      </c>
      <c r="D87" s="160" t="s">
        <v>316</v>
      </c>
      <c r="E87" s="74" t="s">
        <v>30</v>
      </c>
      <c r="F87" s="145">
        <v>4</v>
      </c>
      <c r="G87" s="162">
        <v>139.38</v>
      </c>
      <c r="H87" s="124">
        <f t="shared" ref="H87:H88" si="26">G87*1.2555</f>
        <v>174.99159</v>
      </c>
      <c r="I87" s="125">
        <f t="shared" si="25"/>
        <v>699.96</v>
      </c>
    </row>
    <row r="88" spans="2:9" ht="27.75" customHeight="1" x14ac:dyDescent="0.25">
      <c r="B88" s="76" t="s">
        <v>334</v>
      </c>
      <c r="C88" s="145">
        <v>98463</v>
      </c>
      <c r="D88" s="160" t="s">
        <v>317</v>
      </c>
      <c r="E88" s="74" t="s">
        <v>30</v>
      </c>
      <c r="F88" s="145">
        <v>16</v>
      </c>
      <c r="G88" s="162">
        <v>19.38</v>
      </c>
      <c r="H88" s="124">
        <f t="shared" si="26"/>
        <v>24.331589999999998</v>
      </c>
      <c r="I88" s="125">
        <f t="shared" si="25"/>
        <v>389.3</v>
      </c>
    </row>
    <row r="89" spans="2:9" ht="27.75" customHeight="1" x14ac:dyDescent="0.25">
      <c r="B89" s="145" t="s">
        <v>335</v>
      </c>
      <c r="C89" s="145">
        <v>98111</v>
      </c>
      <c r="D89" s="160" t="s">
        <v>318</v>
      </c>
      <c r="E89" s="74" t="s">
        <v>30</v>
      </c>
      <c r="F89" s="145">
        <v>5</v>
      </c>
      <c r="G89" s="162">
        <v>45.08</v>
      </c>
      <c r="H89" s="124">
        <f t="shared" ref="H89:H90" si="27">G89*1.2555</f>
        <v>56.597940000000001</v>
      </c>
      <c r="I89" s="125">
        <f t="shared" si="25"/>
        <v>282.98</v>
      </c>
    </row>
    <row r="90" spans="2:9" ht="27.75" customHeight="1" x14ac:dyDescent="0.25">
      <c r="B90" s="76" t="s">
        <v>336</v>
      </c>
      <c r="C90" s="145">
        <v>1578</v>
      </c>
      <c r="D90" s="160" t="s">
        <v>319</v>
      </c>
      <c r="E90" s="74" t="s">
        <v>30</v>
      </c>
      <c r="F90" s="145">
        <v>4</v>
      </c>
      <c r="G90" s="162">
        <v>4.42</v>
      </c>
      <c r="H90" s="124">
        <f t="shared" si="27"/>
        <v>5.5493100000000002</v>
      </c>
      <c r="I90" s="125">
        <f t="shared" si="25"/>
        <v>22.19</v>
      </c>
    </row>
    <row r="91" spans="2:9" ht="27.75" customHeight="1" x14ac:dyDescent="0.25">
      <c r="B91" s="76" t="s">
        <v>337</v>
      </c>
      <c r="C91" s="145">
        <v>34359</v>
      </c>
      <c r="D91" s="160" t="s">
        <v>320</v>
      </c>
      <c r="E91" s="74" t="s">
        <v>30</v>
      </c>
      <c r="F91" s="145">
        <v>12</v>
      </c>
      <c r="G91" s="162">
        <v>11.21</v>
      </c>
      <c r="H91" s="124">
        <f t="shared" ref="H91" si="28">G91*1.2555</f>
        <v>14.074155000000001</v>
      </c>
      <c r="I91" s="125">
        <f t="shared" ref="I91" si="29">TRUNC(H91*F91,2)</f>
        <v>168.88</v>
      </c>
    </row>
    <row r="92" spans="2:9" ht="27.75" customHeight="1" x14ac:dyDescent="0.25">
      <c r="B92" s="240" t="s">
        <v>1</v>
      </c>
      <c r="C92" s="241"/>
      <c r="D92" s="241"/>
      <c r="E92" s="241"/>
      <c r="F92" s="241"/>
      <c r="G92" s="241"/>
      <c r="H92" s="241"/>
      <c r="I92" s="95">
        <f>SUM(I82:I91)</f>
        <v>4033.26</v>
      </c>
    </row>
    <row r="93" spans="2:9" ht="27.75" customHeight="1" x14ac:dyDescent="0.25">
      <c r="B93" s="234"/>
      <c r="C93" s="235"/>
      <c r="D93" s="235"/>
      <c r="E93" s="235"/>
      <c r="F93" s="235"/>
      <c r="G93" s="235"/>
      <c r="H93" s="235"/>
      <c r="I93" s="236"/>
    </row>
    <row r="94" spans="2:9" ht="27.75" customHeight="1" x14ac:dyDescent="0.25">
      <c r="B94" s="155">
        <v>10</v>
      </c>
      <c r="C94" s="232" t="s">
        <v>181</v>
      </c>
      <c r="D94" s="232"/>
      <c r="E94" s="232"/>
      <c r="F94" s="232"/>
      <c r="G94" s="232"/>
      <c r="H94" s="232"/>
      <c r="I94" s="233"/>
    </row>
    <row r="95" spans="2:9" ht="33.75" customHeight="1" x14ac:dyDescent="0.25">
      <c r="B95" s="76" t="s">
        <v>338</v>
      </c>
      <c r="C95" s="145" t="s">
        <v>255</v>
      </c>
      <c r="D95" s="91" t="s">
        <v>226</v>
      </c>
      <c r="E95" s="74" t="s">
        <v>30</v>
      </c>
      <c r="F95" s="126">
        <v>1</v>
      </c>
      <c r="G95" s="147">
        <f>'COMP.'!G109</f>
        <v>7391.2463999999991</v>
      </c>
      <c r="H95" s="124">
        <f t="shared" ref="H95" si="30">G95*1.2555</f>
        <v>9279.7098551999989</v>
      </c>
      <c r="I95" s="125">
        <f t="shared" ref="I95:I103" si="31">TRUNC(H95*F95,2)</f>
        <v>9279.7000000000007</v>
      </c>
    </row>
    <row r="96" spans="2:9" ht="30.75" customHeight="1" x14ac:dyDescent="0.25">
      <c r="B96" s="145" t="s">
        <v>339</v>
      </c>
      <c r="C96" s="145" t="s">
        <v>256</v>
      </c>
      <c r="D96" s="160" t="s">
        <v>230</v>
      </c>
      <c r="E96" s="74" t="s">
        <v>30</v>
      </c>
      <c r="F96" s="145">
        <f>2+2</f>
        <v>4</v>
      </c>
      <c r="G96" s="162">
        <f>'COMP.'!G120</f>
        <v>1234.5564000000002</v>
      </c>
      <c r="H96" s="124">
        <f t="shared" ref="H96:H98" si="32">G96*1.2555</f>
        <v>1549.9855602000002</v>
      </c>
      <c r="I96" s="125">
        <f t="shared" si="31"/>
        <v>6199.94</v>
      </c>
    </row>
    <row r="97" spans="2:11" ht="27.75" customHeight="1" x14ac:dyDescent="0.25">
      <c r="B97" s="76" t="s">
        <v>340</v>
      </c>
      <c r="C97" s="145" t="s">
        <v>257</v>
      </c>
      <c r="D97" s="160" t="s">
        <v>236</v>
      </c>
      <c r="E97" s="74" t="s">
        <v>30</v>
      </c>
      <c r="F97" s="145">
        <v>1</v>
      </c>
      <c r="G97" s="162">
        <f>'COMP.'!G127</f>
        <v>1077.1100000000001</v>
      </c>
      <c r="H97" s="124">
        <f t="shared" si="32"/>
        <v>1352.3116050000003</v>
      </c>
      <c r="I97" s="125">
        <f t="shared" si="31"/>
        <v>1352.31</v>
      </c>
    </row>
    <row r="98" spans="2:11" ht="27.75" customHeight="1" x14ac:dyDescent="0.25">
      <c r="B98" s="76" t="s">
        <v>341</v>
      </c>
      <c r="C98" s="145" t="s">
        <v>258</v>
      </c>
      <c r="D98" s="160" t="s">
        <v>277</v>
      </c>
      <c r="E98" s="74" t="s">
        <v>30</v>
      </c>
      <c r="F98" s="145">
        <v>1</v>
      </c>
      <c r="G98" s="162">
        <f>'COMP.'!G137</f>
        <v>4988.05</v>
      </c>
      <c r="H98" s="124">
        <f t="shared" si="32"/>
        <v>6262.4967750000005</v>
      </c>
      <c r="I98" s="125">
        <f t="shared" si="31"/>
        <v>6262.49</v>
      </c>
    </row>
    <row r="99" spans="2:11" ht="27.75" customHeight="1" x14ac:dyDescent="0.25">
      <c r="B99" s="145" t="s">
        <v>342</v>
      </c>
      <c r="C99" s="145" t="s">
        <v>260</v>
      </c>
      <c r="D99" s="160" t="s">
        <v>301</v>
      </c>
      <c r="E99" s="74" t="s">
        <v>30</v>
      </c>
      <c r="F99" s="145">
        <v>1</v>
      </c>
      <c r="G99" s="162">
        <f>'COMP.'!G147</f>
        <v>6315.0499999999993</v>
      </c>
      <c r="H99" s="124">
        <f t="shared" ref="H99" si="33">G99*1.2555</f>
        <v>7928.5452749999995</v>
      </c>
      <c r="I99" s="125">
        <f t="shared" si="31"/>
        <v>7928.54</v>
      </c>
    </row>
    <row r="100" spans="2:11" ht="27.75" customHeight="1" x14ac:dyDescent="0.25">
      <c r="B100" s="76" t="s">
        <v>343</v>
      </c>
      <c r="C100" s="145" t="s">
        <v>263</v>
      </c>
      <c r="D100" s="160" t="s">
        <v>262</v>
      </c>
      <c r="E100" s="74" t="s">
        <v>30</v>
      </c>
      <c r="F100" s="145">
        <v>1</v>
      </c>
      <c r="G100" s="162">
        <f>'COMP.'!G158</f>
        <v>923.13</v>
      </c>
      <c r="H100" s="124">
        <f t="shared" ref="H100:H101" si="34">G100*1.2555</f>
        <v>1158.9897150000002</v>
      </c>
      <c r="I100" s="125">
        <f t="shared" si="31"/>
        <v>1158.98</v>
      </c>
    </row>
    <row r="101" spans="2:11" ht="77.25" customHeight="1" x14ac:dyDescent="0.25">
      <c r="B101" s="76" t="s">
        <v>344</v>
      </c>
      <c r="C101" s="145">
        <v>93350</v>
      </c>
      <c r="D101" s="160" t="s">
        <v>273</v>
      </c>
      <c r="E101" s="74" t="s">
        <v>30</v>
      </c>
      <c r="F101" s="145">
        <v>1</v>
      </c>
      <c r="G101" s="162">
        <v>1044.45</v>
      </c>
      <c r="H101" s="124">
        <f t="shared" si="34"/>
        <v>1311.3069750000002</v>
      </c>
      <c r="I101" s="125">
        <f t="shared" si="31"/>
        <v>1311.3</v>
      </c>
    </row>
    <row r="102" spans="2:11" ht="25.5" x14ac:dyDescent="0.25">
      <c r="B102" s="145" t="s">
        <v>345</v>
      </c>
      <c r="C102" s="145">
        <v>102191</v>
      </c>
      <c r="D102" s="160" t="s">
        <v>310</v>
      </c>
      <c r="E102" s="150" t="s">
        <v>43</v>
      </c>
      <c r="F102" s="145">
        <f>(3*2.1)+(2*0.6*2)+(0.8*2.1)+(2.7*2.1)</f>
        <v>16.05</v>
      </c>
      <c r="G102" s="162">
        <v>15.39</v>
      </c>
      <c r="H102" s="124">
        <f t="shared" ref="H102" si="35">G102*1.2555</f>
        <v>19.322145000000003</v>
      </c>
      <c r="I102" s="125">
        <f t="shared" si="31"/>
        <v>310.12</v>
      </c>
    </row>
    <row r="103" spans="2:11" ht="38.25" x14ac:dyDescent="0.25">
      <c r="B103" s="76" t="s">
        <v>346</v>
      </c>
      <c r="C103" s="145">
        <v>102167</v>
      </c>
      <c r="D103" s="160" t="s">
        <v>302</v>
      </c>
      <c r="E103" s="150" t="s">
        <v>43</v>
      </c>
      <c r="F103" s="145">
        <f>(3*2.1)+(2*0.6*2)+(0.8*2.1)+(2.7*2.1)</f>
        <v>16.05</v>
      </c>
      <c r="G103" s="162">
        <v>549.86</v>
      </c>
      <c r="H103" s="124">
        <f t="shared" ref="H103" si="36">G103*1.2555</f>
        <v>690.34923000000003</v>
      </c>
      <c r="I103" s="125">
        <f t="shared" si="31"/>
        <v>11080.1</v>
      </c>
    </row>
    <row r="104" spans="2:11" ht="33" customHeight="1" x14ac:dyDescent="0.25">
      <c r="B104" s="76" t="s">
        <v>347</v>
      </c>
      <c r="C104" s="145" t="s">
        <v>303</v>
      </c>
      <c r="D104" s="160" t="s">
        <v>305</v>
      </c>
      <c r="E104" s="150" t="s">
        <v>43</v>
      </c>
      <c r="F104" s="145">
        <f>(2.25*2.5)+(3.25*2.5)</f>
        <v>13.75</v>
      </c>
      <c r="G104" s="162">
        <f>'COMP.'!G165</f>
        <v>233.90899999999996</v>
      </c>
      <c r="H104" s="124">
        <f t="shared" ref="H104" si="37">G104*1.2555</f>
        <v>293.67274949999995</v>
      </c>
      <c r="I104" s="125">
        <f>TRUNC(H104*F104,2)</f>
        <v>4038</v>
      </c>
    </row>
    <row r="105" spans="2:11" ht="27.75" customHeight="1" x14ac:dyDescent="0.25">
      <c r="B105" s="240" t="s">
        <v>1</v>
      </c>
      <c r="C105" s="241"/>
      <c r="D105" s="241"/>
      <c r="E105" s="241"/>
      <c r="F105" s="241"/>
      <c r="G105" s="241"/>
      <c r="H105" s="241"/>
      <c r="I105" s="95">
        <f>SUM(I95:I104)</f>
        <v>48921.48</v>
      </c>
    </row>
    <row r="106" spans="2:11" ht="27.75" customHeight="1" x14ac:dyDescent="0.25">
      <c r="B106" s="237"/>
      <c r="C106" s="238"/>
      <c r="D106" s="238"/>
      <c r="E106" s="238"/>
      <c r="F106" s="238"/>
      <c r="G106" s="238"/>
      <c r="H106" s="238"/>
      <c r="I106" s="239"/>
    </row>
    <row r="107" spans="2:11" ht="27.75" customHeight="1" x14ac:dyDescent="0.25">
      <c r="B107" s="155">
        <v>11</v>
      </c>
      <c r="C107" s="232" t="s">
        <v>136</v>
      </c>
      <c r="D107" s="232" t="s">
        <v>136</v>
      </c>
      <c r="E107" s="232"/>
      <c r="F107" s="232"/>
      <c r="G107" s="232"/>
      <c r="H107" s="232"/>
      <c r="I107" s="233"/>
    </row>
    <row r="108" spans="2:11" ht="27.75" customHeight="1" x14ac:dyDescent="0.25">
      <c r="B108" s="156" t="s">
        <v>348</v>
      </c>
      <c r="C108" s="156">
        <v>99803</v>
      </c>
      <c r="D108" s="157" t="s">
        <v>138</v>
      </c>
      <c r="E108" s="150" t="s">
        <v>43</v>
      </c>
      <c r="F108" s="158">
        <v>750</v>
      </c>
      <c r="G108" s="159">
        <v>1.47</v>
      </c>
      <c r="H108" s="124">
        <f>G108*1.2555</f>
        <v>1.845585</v>
      </c>
      <c r="I108" s="125">
        <f>TRUNC(H108*F108,2)</f>
        <v>1384.18</v>
      </c>
    </row>
    <row r="109" spans="2:11" ht="27.75" customHeight="1" x14ac:dyDescent="0.25">
      <c r="B109" s="156" t="s">
        <v>349</v>
      </c>
      <c r="C109" s="74" t="s">
        <v>407</v>
      </c>
      <c r="D109" s="91" t="s">
        <v>90</v>
      </c>
      <c r="E109" s="74" t="s">
        <v>30</v>
      </c>
      <c r="F109" s="126">
        <v>1</v>
      </c>
      <c r="G109" s="75">
        <v>740.84</v>
      </c>
      <c r="H109" s="124">
        <f>G109*1.2555</f>
        <v>930.12462000000005</v>
      </c>
      <c r="I109" s="125">
        <f>TRUNC(H109*F109,2)</f>
        <v>930.12</v>
      </c>
    </row>
    <row r="110" spans="2:11" ht="27.75" customHeight="1" x14ac:dyDescent="0.25">
      <c r="B110" s="240" t="s">
        <v>1</v>
      </c>
      <c r="C110" s="241"/>
      <c r="D110" s="241"/>
      <c r="E110" s="241"/>
      <c r="F110" s="241"/>
      <c r="G110" s="241"/>
      <c r="H110" s="241"/>
      <c r="I110" s="95">
        <f>SUM(I108:I109)</f>
        <v>2314.3000000000002</v>
      </c>
    </row>
    <row r="111" spans="2:11" ht="13.5" thickBot="1" x14ac:dyDescent="0.3">
      <c r="B111" s="93"/>
      <c r="C111" s="93"/>
      <c r="D111" s="136"/>
      <c r="E111" s="93"/>
      <c r="F111" s="93"/>
      <c r="G111" s="137"/>
      <c r="H111" s="137"/>
      <c r="I111" s="137"/>
    </row>
    <row r="112" spans="2:11" ht="36" customHeight="1" thickBot="1" x14ac:dyDescent="0.3">
      <c r="B112" s="220" t="s">
        <v>18</v>
      </c>
      <c r="C112" s="221"/>
      <c r="D112" s="221"/>
      <c r="E112" s="221"/>
      <c r="F112" s="221"/>
      <c r="G112" s="222"/>
      <c r="H112" s="223">
        <f>SUM(I8:I110)/2</f>
        <v>140632.80999999994</v>
      </c>
      <c r="I112" s="224"/>
      <c r="K112" s="127"/>
    </row>
    <row r="117" spans="6:9" x14ac:dyDescent="0.25">
      <c r="I117" s="163"/>
    </row>
    <row r="119" spans="6:9" x14ac:dyDescent="0.25">
      <c r="F119" s="164"/>
    </row>
  </sheetData>
  <mergeCells count="37">
    <mergeCell ref="B79:H79"/>
    <mergeCell ref="B105:H105"/>
    <mergeCell ref="B110:H110"/>
    <mergeCell ref="C107:I107"/>
    <mergeCell ref="C81:I81"/>
    <mergeCell ref="B92:H92"/>
    <mergeCell ref="J2:J3"/>
    <mergeCell ref="B53:I53"/>
    <mergeCell ref="B20:H20"/>
    <mergeCell ref="B11:H11"/>
    <mergeCell ref="C13:I13"/>
    <mergeCell ref="C8:I8"/>
    <mergeCell ref="C22:I22"/>
    <mergeCell ref="C40:I40"/>
    <mergeCell ref="C48:I48"/>
    <mergeCell ref="B47:I47"/>
    <mergeCell ref="B39:I39"/>
    <mergeCell ref="B21:I21"/>
    <mergeCell ref="B12:I12"/>
    <mergeCell ref="B38:H38"/>
    <mergeCell ref="B46:H46"/>
    <mergeCell ref="B52:H52"/>
    <mergeCell ref="B112:G112"/>
    <mergeCell ref="H112:I112"/>
    <mergeCell ref="D2:H5"/>
    <mergeCell ref="I2:I5"/>
    <mergeCell ref="C59:I59"/>
    <mergeCell ref="C54:I54"/>
    <mergeCell ref="C67:I67"/>
    <mergeCell ref="C94:I94"/>
    <mergeCell ref="B93:I93"/>
    <mergeCell ref="B106:I106"/>
    <mergeCell ref="B66:I66"/>
    <mergeCell ref="B65:I65"/>
    <mergeCell ref="B58:I58"/>
    <mergeCell ref="B57:H57"/>
    <mergeCell ref="B64:H64"/>
  </mergeCells>
  <printOptions horizontalCentered="1" verticalCentered="1"/>
  <pageMargins left="0.23622047244094491" right="0.23622047244094491" top="0.2" bottom="0.16" header="0.15" footer="0.16"/>
  <pageSetup paperSize="9" scale="64" fitToHeight="0" orientation="portrait" r:id="rId1"/>
  <headerFooter scaleWithDoc="0" alignWithMargins="0"/>
  <rowBreaks count="2" manualBreakCount="2">
    <brk id="39" min="1" max="8" man="1"/>
    <brk id="66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1"/>
  <sheetViews>
    <sheetView view="pageBreakPreview" topLeftCell="A73" zoomScale="80" zoomScaleNormal="100" zoomScaleSheetLayoutView="80" workbookViewId="0">
      <selection activeCell="B170" sqref="B170"/>
    </sheetView>
  </sheetViews>
  <sheetFormatPr defaultColWidth="13.85546875" defaultRowHeight="14.25" x14ac:dyDescent="0.25"/>
  <cols>
    <col min="1" max="1" width="6.85546875" style="105" customWidth="1"/>
    <col min="2" max="2" width="16.7109375" style="105" customWidth="1"/>
    <col min="3" max="3" width="86.42578125" style="107" customWidth="1"/>
    <col min="4" max="4" width="13.85546875" style="105"/>
    <col min="5" max="5" width="13.7109375" style="109" bestFit="1" customWidth="1"/>
    <col min="6" max="6" width="24" style="105" bestFit="1" customWidth="1"/>
    <col min="7" max="7" width="19.42578125" style="105" bestFit="1" customWidth="1"/>
    <col min="8" max="16384" width="13.85546875" style="105"/>
  </cols>
  <sheetData>
    <row r="2" spans="2:7" ht="28.5" customHeight="1" x14ac:dyDescent="0.25">
      <c r="B2" s="254" t="s">
        <v>171</v>
      </c>
      <c r="C2" s="254"/>
      <c r="D2" s="254"/>
      <c r="E2" s="254"/>
      <c r="F2" s="254"/>
      <c r="G2" s="254"/>
    </row>
    <row r="3" spans="2:7" ht="28.5" customHeight="1" x14ac:dyDescent="0.25">
      <c r="B3" s="259" t="s">
        <v>279</v>
      </c>
      <c r="C3" s="260"/>
      <c r="D3" s="260"/>
      <c r="E3" s="260"/>
      <c r="F3" s="260"/>
      <c r="G3" s="261"/>
    </row>
    <row r="4" spans="2:7" ht="28.5" customHeight="1" x14ac:dyDescent="0.25">
      <c r="C4" s="105"/>
      <c r="E4" s="105"/>
    </row>
    <row r="5" spans="2:7" ht="25.5" customHeight="1" x14ac:dyDescent="0.25">
      <c r="B5" s="168" t="s">
        <v>189</v>
      </c>
      <c r="C5" s="169" t="s">
        <v>21</v>
      </c>
      <c r="D5" s="168" t="s">
        <v>4</v>
      </c>
      <c r="E5" s="170" t="s">
        <v>280</v>
      </c>
      <c r="F5" s="171" t="s">
        <v>24</v>
      </c>
      <c r="G5" s="171" t="s">
        <v>25</v>
      </c>
    </row>
    <row r="7" spans="2:7" ht="15" x14ac:dyDescent="0.25">
      <c r="B7" s="102" t="s">
        <v>240</v>
      </c>
      <c r="C7" s="256" t="s">
        <v>194</v>
      </c>
      <c r="D7" s="257"/>
      <c r="E7" s="257"/>
      <c r="F7" s="257"/>
      <c r="G7" s="258"/>
    </row>
    <row r="8" spans="2:7" ht="31.5" x14ac:dyDescent="0.25">
      <c r="B8" s="60" t="s">
        <v>190</v>
      </c>
      <c r="C8" s="61" t="s">
        <v>193</v>
      </c>
      <c r="D8" s="62" t="s">
        <v>30</v>
      </c>
      <c r="E8" s="110">
        <v>1</v>
      </c>
      <c r="F8" s="12">
        <v>188.46</v>
      </c>
      <c r="G8" s="12">
        <f t="shared" ref="G8:G10" si="0">E8*F8</f>
        <v>188.46</v>
      </c>
    </row>
    <row r="9" spans="2:7" ht="15.75" x14ac:dyDescent="0.25">
      <c r="B9" s="10" t="s">
        <v>191</v>
      </c>
      <c r="C9" s="61" t="s">
        <v>192</v>
      </c>
      <c r="D9" s="10" t="s">
        <v>30</v>
      </c>
      <c r="E9" s="110">
        <v>1</v>
      </c>
      <c r="F9" s="12">
        <v>233.94</v>
      </c>
      <c r="G9" s="12">
        <f t="shared" si="0"/>
        <v>233.94</v>
      </c>
    </row>
    <row r="10" spans="2:7" ht="15.75" x14ac:dyDescent="0.25">
      <c r="B10" s="8">
        <v>90772</v>
      </c>
      <c r="C10" s="54" t="s">
        <v>105</v>
      </c>
      <c r="D10" s="10" t="s">
        <v>26</v>
      </c>
      <c r="E10" s="111">
        <v>4</v>
      </c>
      <c r="F10" s="12">
        <v>12.71</v>
      </c>
      <c r="G10" s="12">
        <f t="shared" si="0"/>
        <v>50.84</v>
      </c>
    </row>
    <row r="11" spans="2:7" ht="15" x14ac:dyDescent="0.25">
      <c r="B11" s="250" t="s">
        <v>188</v>
      </c>
      <c r="C11" s="250"/>
      <c r="D11" s="250"/>
      <c r="E11" s="250"/>
      <c r="F11" s="250"/>
      <c r="G11" s="103">
        <f>SUM(G8:G10)</f>
        <v>473.24</v>
      </c>
    </row>
    <row r="13" spans="2:7" ht="31.5" customHeight="1" x14ac:dyDescent="0.25">
      <c r="B13" s="104" t="s">
        <v>259</v>
      </c>
      <c r="C13" s="251" t="s">
        <v>99</v>
      </c>
      <c r="D13" s="252"/>
      <c r="E13" s="252"/>
      <c r="F13" s="252"/>
      <c r="G13" s="253"/>
    </row>
    <row r="14" spans="2:7" ht="31.5" x14ac:dyDescent="0.25">
      <c r="B14" s="8">
        <v>4417</v>
      </c>
      <c r="C14" s="54" t="s">
        <v>106</v>
      </c>
      <c r="D14" s="10" t="s">
        <v>6</v>
      </c>
      <c r="E14" s="110">
        <v>1</v>
      </c>
      <c r="F14" s="66">
        <v>5.66</v>
      </c>
      <c r="G14" s="66">
        <f>E14*F14</f>
        <v>5.66</v>
      </c>
    </row>
    <row r="15" spans="2:7" ht="31.5" x14ac:dyDescent="0.25">
      <c r="B15" s="8">
        <v>4491</v>
      </c>
      <c r="C15" s="54" t="s">
        <v>107</v>
      </c>
      <c r="D15" s="10" t="s">
        <v>6</v>
      </c>
      <c r="E15" s="110">
        <v>4</v>
      </c>
      <c r="F15" s="66">
        <v>9.0399999999999991</v>
      </c>
      <c r="G15" s="66">
        <f t="shared" ref="G15:G20" si="1">E15*F15</f>
        <v>36.159999999999997</v>
      </c>
    </row>
    <row r="16" spans="2:7" ht="31.5" x14ac:dyDescent="0.25">
      <c r="B16" s="8">
        <v>4813</v>
      </c>
      <c r="C16" s="54" t="s">
        <v>108</v>
      </c>
      <c r="D16" s="10" t="s">
        <v>43</v>
      </c>
      <c r="E16" s="110">
        <v>1</v>
      </c>
      <c r="F16" s="66">
        <v>225</v>
      </c>
      <c r="G16" s="66">
        <f t="shared" si="1"/>
        <v>225</v>
      </c>
    </row>
    <row r="17" spans="2:7" ht="15.75" x14ac:dyDescent="0.25">
      <c r="B17" s="8">
        <v>5075</v>
      </c>
      <c r="C17" s="54" t="s">
        <v>109</v>
      </c>
      <c r="D17" s="10" t="s">
        <v>7</v>
      </c>
      <c r="E17" s="110">
        <v>0.11</v>
      </c>
      <c r="F17" s="66">
        <v>24.04</v>
      </c>
      <c r="G17" s="66">
        <f t="shared" si="1"/>
        <v>2.6444000000000001</v>
      </c>
    </row>
    <row r="18" spans="2:7" ht="15.75" x14ac:dyDescent="0.25">
      <c r="B18" s="8">
        <v>88262</v>
      </c>
      <c r="C18" s="54" t="s">
        <v>110</v>
      </c>
      <c r="D18" s="10" t="s">
        <v>26</v>
      </c>
      <c r="E18" s="110">
        <v>1</v>
      </c>
      <c r="F18" s="66">
        <v>18.63</v>
      </c>
      <c r="G18" s="66">
        <f t="shared" si="1"/>
        <v>18.63</v>
      </c>
    </row>
    <row r="19" spans="2:7" ht="15.75" x14ac:dyDescent="0.25">
      <c r="B19" s="8">
        <v>88316</v>
      </c>
      <c r="C19" s="54" t="s">
        <v>38</v>
      </c>
      <c r="D19" s="10" t="s">
        <v>26</v>
      </c>
      <c r="E19" s="110">
        <v>2</v>
      </c>
      <c r="F19" s="66">
        <v>15.16</v>
      </c>
      <c r="G19" s="66">
        <f t="shared" si="1"/>
        <v>30.32</v>
      </c>
    </row>
    <row r="20" spans="2:7" ht="31.5" x14ac:dyDescent="0.25">
      <c r="B20" s="8">
        <v>94962</v>
      </c>
      <c r="C20" s="54" t="s">
        <v>111</v>
      </c>
      <c r="D20" s="10" t="s">
        <v>112</v>
      </c>
      <c r="E20" s="110">
        <v>0.01</v>
      </c>
      <c r="F20" s="66">
        <v>320.37</v>
      </c>
      <c r="G20" s="66">
        <f t="shared" si="1"/>
        <v>3.2037</v>
      </c>
    </row>
    <row r="21" spans="2:7" ht="15" x14ac:dyDescent="0.25">
      <c r="B21" s="250" t="s">
        <v>188</v>
      </c>
      <c r="C21" s="250"/>
      <c r="D21" s="250"/>
      <c r="E21" s="250"/>
      <c r="F21" s="250"/>
      <c r="G21" s="103">
        <f>SUM(G14:G20)</f>
        <v>321.61810000000003</v>
      </c>
    </row>
    <row r="23" spans="2:7" ht="15.75" x14ac:dyDescent="0.25">
      <c r="B23" s="104" t="s">
        <v>242</v>
      </c>
      <c r="C23" s="251" t="s">
        <v>87</v>
      </c>
      <c r="D23" s="252"/>
      <c r="E23" s="252"/>
      <c r="F23" s="252"/>
      <c r="G23" s="253"/>
    </row>
    <row r="24" spans="2:7" ht="15.75" x14ac:dyDescent="0.25">
      <c r="B24" s="30">
        <v>88316</v>
      </c>
      <c r="C24" s="31" t="s">
        <v>38</v>
      </c>
      <c r="D24" s="30" t="s">
        <v>26</v>
      </c>
      <c r="E24" s="112">
        <v>16</v>
      </c>
      <c r="F24" s="56">
        <v>15.16</v>
      </c>
      <c r="G24" s="56">
        <f>E24*F24</f>
        <v>242.56</v>
      </c>
    </row>
    <row r="25" spans="2:7" ht="63" x14ac:dyDescent="0.25">
      <c r="B25" s="57">
        <v>73467</v>
      </c>
      <c r="C25" s="31" t="s">
        <v>88</v>
      </c>
      <c r="D25" s="30" t="s">
        <v>9</v>
      </c>
      <c r="E25" s="112">
        <v>2</v>
      </c>
      <c r="F25" s="56">
        <v>145.22</v>
      </c>
      <c r="G25" s="56">
        <f t="shared" ref="G25:G26" si="2">E25*F25</f>
        <v>290.44</v>
      </c>
    </row>
    <row r="26" spans="2:7" ht="47.25" x14ac:dyDescent="0.25">
      <c r="B26" s="57">
        <v>5892</v>
      </c>
      <c r="C26" s="31" t="s">
        <v>89</v>
      </c>
      <c r="D26" s="30" t="s">
        <v>41</v>
      </c>
      <c r="E26" s="112">
        <v>8</v>
      </c>
      <c r="F26" s="56">
        <v>34.39</v>
      </c>
      <c r="G26" s="56">
        <f t="shared" si="2"/>
        <v>275.12</v>
      </c>
    </row>
    <row r="27" spans="2:7" ht="15" x14ac:dyDescent="0.25">
      <c r="B27" s="250" t="s">
        <v>188</v>
      </c>
      <c r="C27" s="250"/>
      <c r="D27" s="250"/>
      <c r="E27" s="250"/>
      <c r="F27" s="250"/>
      <c r="G27" s="103">
        <f>SUM(G24:G26)</f>
        <v>808.12</v>
      </c>
    </row>
    <row r="29" spans="2:7" ht="23.25" customHeight="1" x14ac:dyDescent="0.25">
      <c r="B29" s="104" t="s">
        <v>243</v>
      </c>
      <c r="C29" s="251" t="s">
        <v>78</v>
      </c>
      <c r="D29" s="252" t="s">
        <v>6</v>
      </c>
      <c r="E29" s="252"/>
      <c r="F29" s="252"/>
      <c r="G29" s="253">
        <v>2.7999299999999998</v>
      </c>
    </row>
    <row r="30" spans="2:7" ht="15.75" x14ac:dyDescent="0.25">
      <c r="B30" s="30">
        <v>88316</v>
      </c>
      <c r="C30" s="31" t="s">
        <v>38</v>
      </c>
      <c r="D30" s="30" t="s">
        <v>26</v>
      </c>
      <c r="E30" s="112">
        <v>0.15</v>
      </c>
      <c r="F30" s="33">
        <v>15.16</v>
      </c>
      <c r="G30" s="34">
        <f t="shared" ref="G30:G31" si="3">E30*F30</f>
        <v>2.274</v>
      </c>
    </row>
    <row r="31" spans="2:7" ht="15.75" x14ac:dyDescent="0.25">
      <c r="B31" s="37">
        <v>88323</v>
      </c>
      <c r="C31" s="118" t="s">
        <v>39</v>
      </c>
      <c r="D31" s="39" t="s">
        <v>26</v>
      </c>
      <c r="E31" s="113">
        <v>3.3000000000000002E-2</v>
      </c>
      <c r="F31" s="33">
        <v>19.899999999999999</v>
      </c>
      <c r="G31" s="34">
        <f t="shared" si="3"/>
        <v>0.65669999999999995</v>
      </c>
    </row>
    <row r="32" spans="2:7" ht="15" x14ac:dyDescent="0.25">
      <c r="B32" s="250" t="s">
        <v>188</v>
      </c>
      <c r="C32" s="250"/>
      <c r="D32" s="250"/>
      <c r="E32" s="250"/>
      <c r="F32" s="250"/>
      <c r="G32" s="103">
        <f>SUM(G30:G31)</f>
        <v>2.9306999999999999</v>
      </c>
    </row>
    <row r="34" spans="2:7" ht="21.75" customHeight="1" x14ac:dyDescent="0.25">
      <c r="B34" s="104" t="s">
        <v>244</v>
      </c>
      <c r="C34" s="251" t="s">
        <v>80</v>
      </c>
      <c r="D34" s="252"/>
      <c r="E34" s="252"/>
      <c r="F34" s="252"/>
      <c r="G34" s="253"/>
    </row>
    <row r="35" spans="2:7" ht="15.75" x14ac:dyDescent="0.25">
      <c r="B35" s="46">
        <v>88315</v>
      </c>
      <c r="C35" s="64" t="s">
        <v>81</v>
      </c>
      <c r="D35" s="48" t="s">
        <v>26</v>
      </c>
      <c r="E35" s="110">
        <v>0.97740000000000005</v>
      </c>
      <c r="F35" s="17">
        <v>18.75</v>
      </c>
      <c r="G35" s="17">
        <f>E35*F35</f>
        <v>18.326250000000002</v>
      </c>
    </row>
    <row r="36" spans="2:7" ht="15.75" x14ac:dyDescent="0.25">
      <c r="B36" s="46">
        <v>88317</v>
      </c>
      <c r="C36" s="64" t="s">
        <v>82</v>
      </c>
      <c r="D36" s="10" t="s">
        <v>26</v>
      </c>
      <c r="E36" s="110">
        <v>2.5</v>
      </c>
      <c r="F36" s="17">
        <v>19.57</v>
      </c>
      <c r="G36" s="17">
        <f t="shared" ref="G36:G39" si="4">E36*F36</f>
        <v>48.924999999999997</v>
      </c>
    </row>
    <row r="37" spans="2:7" ht="15.75" x14ac:dyDescent="0.25">
      <c r="B37" s="8">
        <v>10998</v>
      </c>
      <c r="C37" s="115" t="s">
        <v>83</v>
      </c>
      <c r="D37" s="10" t="s">
        <v>84</v>
      </c>
      <c r="E37" s="110">
        <v>0.6</v>
      </c>
      <c r="F37" s="50">
        <v>28.67</v>
      </c>
      <c r="G37" s="17">
        <f t="shared" si="4"/>
        <v>17.202000000000002</v>
      </c>
    </row>
    <row r="38" spans="2:7" ht="15.75" x14ac:dyDescent="0.25">
      <c r="B38" s="8" t="s">
        <v>195</v>
      </c>
      <c r="C38" s="51" t="s">
        <v>196</v>
      </c>
      <c r="D38" s="10" t="s">
        <v>12</v>
      </c>
      <c r="E38" s="110">
        <v>1</v>
      </c>
      <c r="F38" s="52">
        <f>58.68*1.2</f>
        <v>70.415999999999997</v>
      </c>
      <c r="G38" s="17">
        <f t="shared" si="4"/>
        <v>70.415999999999997</v>
      </c>
    </row>
    <row r="39" spans="2:7" ht="31.5" x14ac:dyDescent="0.25">
      <c r="B39" s="8">
        <v>43465</v>
      </c>
      <c r="C39" s="54" t="s">
        <v>86</v>
      </c>
      <c r="D39" s="10" t="s">
        <v>26</v>
      </c>
      <c r="E39" s="114">
        <v>1</v>
      </c>
      <c r="F39" s="17">
        <v>0.74</v>
      </c>
      <c r="G39" s="17">
        <f t="shared" si="4"/>
        <v>0.74</v>
      </c>
    </row>
    <row r="40" spans="2:7" ht="15" x14ac:dyDescent="0.25">
      <c r="B40" s="250" t="s">
        <v>188</v>
      </c>
      <c r="C40" s="250"/>
      <c r="D40" s="250"/>
      <c r="E40" s="250"/>
      <c r="F40" s="250"/>
      <c r="G40" s="103">
        <f>SUM(G35:G39)</f>
        <v>155.60925</v>
      </c>
    </row>
    <row r="42" spans="2:7" ht="15.75" x14ac:dyDescent="0.25">
      <c r="B42" s="104" t="s">
        <v>245</v>
      </c>
      <c r="C42" s="251" t="s">
        <v>197</v>
      </c>
      <c r="D42" s="252"/>
      <c r="E42" s="252"/>
      <c r="F42" s="252"/>
      <c r="G42" s="253"/>
    </row>
    <row r="43" spans="2:7" ht="15.75" x14ac:dyDescent="0.25">
      <c r="B43" s="30">
        <v>88316</v>
      </c>
      <c r="C43" s="31" t="s">
        <v>38</v>
      </c>
      <c r="D43" s="30" t="s">
        <v>26</v>
      </c>
      <c r="E43" s="112">
        <v>0.16</v>
      </c>
      <c r="F43" s="33">
        <v>15.16</v>
      </c>
      <c r="G43" s="34">
        <f t="shared" ref="G43:G45" si="5">E43*F43</f>
        <v>2.4256000000000002</v>
      </c>
    </row>
    <row r="44" spans="2:7" ht="15.75" x14ac:dyDescent="0.25">
      <c r="B44" s="57">
        <v>88323</v>
      </c>
      <c r="C44" s="119" t="s">
        <v>39</v>
      </c>
      <c r="D44" s="30" t="s">
        <v>26</v>
      </c>
      <c r="E44" s="113">
        <v>0.04</v>
      </c>
      <c r="F44" s="33">
        <v>19.899999999999999</v>
      </c>
      <c r="G44" s="34">
        <f t="shared" si="5"/>
        <v>0.79599999999999993</v>
      </c>
    </row>
    <row r="45" spans="2:7" ht="31.5" x14ac:dyDescent="0.25">
      <c r="B45" s="8">
        <v>142</v>
      </c>
      <c r="C45" s="116" t="s">
        <v>198</v>
      </c>
      <c r="D45" s="10" t="s">
        <v>30</v>
      </c>
      <c r="E45" s="110">
        <v>0.19500000000000001</v>
      </c>
      <c r="F45" s="117">
        <v>26.18</v>
      </c>
      <c r="G45" s="34">
        <f t="shared" si="5"/>
        <v>5.1051000000000002</v>
      </c>
    </row>
    <row r="46" spans="2:7" ht="15" x14ac:dyDescent="0.25">
      <c r="B46" s="250" t="s">
        <v>188</v>
      </c>
      <c r="C46" s="250"/>
      <c r="D46" s="250"/>
      <c r="E46" s="250"/>
      <c r="F46" s="250"/>
      <c r="G46" s="103">
        <f>SUM(G43:G45)</f>
        <v>8.3267000000000007</v>
      </c>
    </row>
    <row r="47" spans="2:7" s="167" customFormat="1" ht="15" x14ac:dyDescent="0.25">
      <c r="B47" s="165"/>
      <c r="C47" s="165"/>
      <c r="D47" s="165"/>
      <c r="E47" s="165"/>
      <c r="F47" s="165"/>
      <c r="G47" s="166"/>
    </row>
    <row r="48" spans="2:7" ht="15" x14ac:dyDescent="0.25">
      <c r="B48" s="102" t="s">
        <v>246</v>
      </c>
      <c r="C48" s="255" t="s">
        <v>172</v>
      </c>
      <c r="D48" s="255"/>
      <c r="E48" s="255"/>
      <c r="F48" s="255"/>
      <c r="G48" s="255"/>
    </row>
    <row r="49" spans="2:7" x14ac:dyDescent="0.25">
      <c r="B49" s="98" t="s">
        <v>195</v>
      </c>
      <c r="C49" s="106" t="s">
        <v>406</v>
      </c>
      <c r="D49" s="98" t="s">
        <v>30</v>
      </c>
      <c r="E49" s="108">
        <v>1</v>
      </c>
      <c r="F49" s="99">
        <f>45.17*6</f>
        <v>271.02</v>
      </c>
      <c r="G49" s="99">
        <f>E49*F49</f>
        <v>271.02</v>
      </c>
    </row>
    <row r="50" spans="2:7" x14ac:dyDescent="0.25">
      <c r="B50" s="98">
        <v>88247</v>
      </c>
      <c r="C50" s="78" t="s">
        <v>28</v>
      </c>
      <c r="D50" s="77" t="s">
        <v>26</v>
      </c>
      <c r="E50" s="108">
        <v>0.32</v>
      </c>
      <c r="F50" s="99">
        <v>15.19</v>
      </c>
      <c r="G50" s="99">
        <f>E50*F50</f>
        <v>4.8608000000000002</v>
      </c>
    </row>
    <row r="51" spans="2:7" x14ac:dyDescent="0.25">
      <c r="B51" s="98">
        <v>88264</v>
      </c>
      <c r="C51" s="78" t="s">
        <v>29</v>
      </c>
      <c r="D51" s="77" t="s">
        <v>26</v>
      </c>
      <c r="E51" s="108">
        <v>0.32</v>
      </c>
      <c r="F51" s="99">
        <v>19.53</v>
      </c>
      <c r="G51" s="99">
        <f t="shared" ref="G51" si="6">E51*F51</f>
        <v>6.2496000000000009</v>
      </c>
    </row>
    <row r="52" spans="2:7" ht="15" x14ac:dyDescent="0.25">
      <c r="B52" s="250" t="s">
        <v>188</v>
      </c>
      <c r="C52" s="250"/>
      <c r="D52" s="250"/>
      <c r="E52" s="250"/>
      <c r="F52" s="250"/>
      <c r="G52" s="103">
        <f>SUM(G49:G51)</f>
        <v>282.13039999999995</v>
      </c>
    </row>
    <row r="53" spans="2:7" ht="15" x14ac:dyDescent="0.25">
      <c r="G53" s="97"/>
    </row>
    <row r="54" spans="2:7" ht="15" x14ac:dyDescent="0.25">
      <c r="B54" s="102" t="s">
        <v>247</v>
      </c>
      <c r="C54" s="256" t="s">
        <v>173</v>
      </c>
      <c r="D54" s="257"/>
      <c r="E54" s="257"/>
      <c r="F54" s="257"/>
      <c r="G54" s="258"/>
    </row>
    <row r="55" spans="2:7" x14ac:dyDescent="0.25">
      <c r="B55" s="98" t="s">
        <v>195</v>
      </c>
      <c r="C55" s="106" t="s">
        <v>406</v>
      </c>
      <c r="D55" s="98" t="s">
        <v>30</v>
      </c>
      <c r="E55" s="108">
        <v>1</v>
      </c>
      <c r="F55" s="99">
        <f>45.17*3</f>
        <v>135.51</v>
      </c>
      <c r="G55" s="99">
        <f>E55*F55</f>
        <v>135.51</v>
      </c>
    </row>
    <row r="56" spans="2:7" x14ac:dyDescent="0.25">
      <c r="B56" s="98">
        <v>88247</v>
      </c>
      <c r="C56" s="78" t="s">
        <v>28</v>
      </c>
      <c r="D56" s="77" t="s">
        <v>26</v>
      </c>
      <c r="E56" s="108">
        <v>0.32</v>
      </c>
      <c r="F56" s="99">
        <v>15.19</v>
      </c>
      <c r="G56" s="99">
        <f>E56*F56</f>
        <v>4.8608000000000002</v>
      </c>
    </row>
    <row r="57" spans="2:7" x14ac:dyDescent="0.25">
      <c r="B57" s="98">
        <v>88264</v>
      </c>
      <c r="C57" s="78" t="s">
        <v>29</v>
      </c>
      <c r="D57" s="77" t="s">
        <v>26</v>
      </c>
      <c r="E57" s="108">
        <v>0.32</v>
      </c>
      <c r="F57" s="99">
        <v>19.53</v>
      </c>
      <c r="G57" s="99">
        <f t="shared" ref="G57" si="7">E57*F57</f>
        <v>6.2496000000000009</v>
      </c>
    </row>
    <row r="58" spans="2:7" ht="15" x14ac:dyDescent="0.25">
      <c r="B58" s="250" t="s">
        <v>188</v>
      </c>
      <c r="C58" s="250"/>
      <c r="D58" s="250"/>
      <c r="E58" s="250"/>
      <c r="F58" s="250"/>
      <c r="G58" s="103">
        <f>SUM(G55:G57)</f>
        <v>146.62040000000002</v>
      </c>
    </row>
    <row r="60" spans="2:7" ht="24.75" customHeight="1" x14ac:dyDescent="0.25">
      <c r="B60" s="104" t="s">
        <v>248</v>
      </c>
      <c r="C60" s="251" t="s">
        <v>199</v>
      </c>
      <c r="D60" s="252"/>
      <c r="E60" s="252"/>
      <c r="F60" s="252"/>
      <c r="G60" s="253"/>
    </row>
    <row r="61" spans="2:7" ht="15.75" x14ac:dyDescent="0.25">
      <c r="B61" s="8">
        <v>88247</v>
      </c>
      <c r="C61" s="9" t="s">
        <v>28</v>
      </c>
      <c r="D61" s="10" t="s">
        <v>26</v>
      </c>
      <c r="E61" s="11">
        <v>0.22309999999999999</v>
      </c>
      <c r="F61" s="12">
        <v>15.19</v>
      </c>
      <c r="G61" s="12">
        <f>E61*F61</f>
        <v>3.3888889999999998</v>
      </c>
    </row>
    <row r="62" spans="2:7" ht="15.75" x14ac:dyDescent="0.25">
      <c r="B62" s="8">
        <v>88264</v>
      </c>
      <c r="C62" s="9" t="s">
        <v>29</v>
      </c>
      <c r="D62" s="10" t="s">
        <v>26</v>
      </c>
      <c r="E62" s="11">
        <v>0.22</v>
      </c>
      <c r="F62" s="12">
        <v>19.53</v>
      </c>
      <c r="G62" s="12">
        <f t="shared" ref="G62" si="8">E62*F62</f>
        <v>4.2966000000000006</v>
      </c>
    </row>
    <row r="63" spans="2:7" ht="31.5" x14ac:dyDescent="0.25">
      <c r="B63" s="8">
        <v>97589</v>
      </c>
      <c r="C63" s="115" t="s">
        <v>46</v>
      </c>
      <c r="D63" s="8" t="s">
        <v>30</v>
      </c>
      <c r="E63" s="11">
        <v>1</v>
      </c>
      <c r="F63" s="12">
        <v>32.24</v>
      </c>
      <c r="G63" s="12">
        <f>E63*F63</f>
        <v>32.24</v>
      </c>
    </row>
    <row r="64" spans="2:7" ht="15" x14ac:dyDescent="0.25">
      <c r="B64" s="250" t="s">
        <v>188</v>
      </c>
      <c r="C64" s="250"/>
      <c r="D64" s="250"/>
      <c r="E64" s="250"/>
      <c r="F64" s="250"/>
      <c r="G64" s="103">
        <f>SUM(G61:G63)</f>
        <v>39.925488999999999</v>
      </c>
    </row>
    <row r="67" spans="2:7" ht="22.5" customHeight="1" x14ac:dyDescent="0.25">
      <c r="B67" s="104" t="s">
        <v>249</v>
      </c>
      <c r="C67" s="251" t="s">
        <v>187</v>
      </c>
      <c r="D67" s="252"/>
      <c r="E67" s="252"/>
      <c r="F67" s="252"/>
      <c r="G67" s="253"/>
    </row>
    <row r="68" spans="2:7" ht="31.5" x14ac:dyDescent="0.25">
      <c r="B68" s="57">
        <v>1576</v>
      </c>
      <c r="C68" s="31" t="s">
        <v>209</v>
      </c>
      <c r="D68" s="30" t="s">
        <v>202</v>
      </c>
      <c r="E68" s="32" t="s">
        <v>203</v>
      </c>
      <c r="F68" s="56">
        <v>2.2599999999999998</v>
      </c>
      <c r="G68" s="56">
        <f>E68*F68</f>
        <v>4.5199999999999996</v>
      </c>
    </row>
    <row r="69" spans="2:7" ht="31.5" x14ac:dyDescent="0.25">
      <c r="B69" s="57">
        <v>39472</v>
      </c>
      <c r="C69" s="31" t="s">
        <v>206</v>
      </c>
      <c r="D69" s="30" t="s">
        <v>202</v>
      </c>
      <c r="E69" s="32" t="s">
        <v>204</v>
      </c>
      <c r="F69" s="56">
        <v>185.17</v>
      </c>
      <c r="G69" s="56">
        <f t="shared" ref="G69:G70" si="9">E69*F69</f>
        <v>185.17</v>
      </c>
    </row>
    <row r="70" spans="2:7" ht="15.75" x14ac:dyDescent="0.25">
      <c r="B70" s="57" t="s">
        <v>200</v>
      </c>
      <c r="C70" s="31" t="s">
        <v>28</v>
      </c>
      <c r="D70" s="30" t="s">
        <v>26</v>
      </c>
      <c r="E70" s="32" t="s">
        <v>205</v>
      </c>
      <c r="F70" s="56">
        <v>15.19</v>
      </c>
      <c r="G70" s="56">
        <f t="shared" si="9"/>
        <v>2.0126750000000002</v>
      </c>
    </row>
    <row r="71" spans="2:7" ht="15.75" x14ac:dyDescent="0.25">
      <c r="B71" s="57">
        <v>88264</v>
      </c>
      <c r="C71" s="31" t="s">
        <v>29</v>
      </c>
      <c r="D71" s="30" t="s">
        <v>26</v>
      </c>
      <c r="E71" s="32" t="s">
        <v>205</v>
      </c>
      <c r="F71" s="56">
        <v>19.53</v>
      </c>
      <c r="G71" s="56">
        <f>E71*F71</f>
        <v>2.5877250000000003</v>
      </c>
    </row>
    <row r="72" spans="2:7" ht="15" x14ac:dyDescent="0.25">
      <c r="B72" s="250" t="s">
        <v>188</v>
      </c>
      <c r="C72" s="250"/>
      <c r="D72" s="250"/>
      <c r="E72" s="250"/>
      <c r="F72" s="250"/>
      <c r="G72" s="103">
        <f>SUM(G68:G71)</f>
        <v>194.29040000000001</v>
      </c>
    </row>
    <row r="74" spans="2:7" ht="29.25" customHeight="1" x14ac:dyDescent="0.25">
      <c r="B74" s="104" t="s">
        <v>250</v>
      </c>
      <c r="C74" s="251" t="s">
        <v>207</v>
      </c>
      <c r="D74" s="252"/>
      <c r="E74" s="252"/>
      <c r="F74" s="252"/>
      <c r="G74" s="253"/>
    </row>
    <row r="75" spans="2:7" ht="31.5" x14ac:dyDescent="0.25">
      <c r="B75" s="57">
        <v>1576</v>
      </c>
      <c r="C75" s="31" t="s">
        <v>209</v>
      </c>
      <c r="D75" s="30" t="s">
        <v>202</v>
      </c>
      <c r="E75" s="32" t="s">
        <v>203</v>
      </c>
      <c r="F75" s="56">
        <v>2.14</v>
      </c>
      <c r="G75" s="56">
        <f>E75*F75</f>
        <v>4.28</v>
      </c>
    </row>
    <row r="76" spans="2:7" ht="15.75" x14ac:dyDescent="0.25">
      <c r="B76" s="57">
        <v>39447</v>
      </c>
      <c r="C76" s="31" t="s">
        <v>208</v>
      </c>
      <c r="D76" s="30" t="s">
        <v>202</v>
      </c>
      <c r="E76" s="32" t="s">
        <v>204</v>
      </c>
      <c r="F76" s="56">
        <v>155.15</v>
      </c>
      <c r="G76" s="56">
        <f t="shared" ref="G76:G77" si="10">E76*F76</f>
        <v>155.15</v>
      </c>
    </row>
    <row r="77" spans="2:7" ht="15.75" x14ac:dyDescent="0.25">
      <c r="B77" s="57" t="s">
        <v>200</v>
      </c>
      <c r="C77" s="31" t="s">
        <v>28</v>
      </c>
      <c r="D77" s="30" t="s">
        <v>26</v>
      </c>
      <c r="E77" s="32" t="s">
        <v>205</v>
      </c>
      <c r="F77" s="56">
        <v>15.19</v>
      </c>
      <c r="G77" s="56">
        <f t="shared" si="10"/>
        <v>2.0126750000000002</v>
      </c>
    </row>
    <row r="78" spans="2:7" ht="15.75" x14ac:dyDescent="0.25">
      <c r="B78" s="57" t="s">
        <v>201</v>
      </c>
      <c r="C78" s="31" t="s">
        <v>29</v>
      </c>
      <c r="D78" s="30" t="s">
        <v>26</v>
      </c>
      <c r="E78" s="32" t="s">
        <v>205</v>
      </c>
      <c r="F78" s="56">
        <v>19.53</v>
      </c>
      <c r="G78" s="56">
        <f>E78*F78</f>
        <v>2.5877250000000003</v>
      </c>
    </row>
    <row r="79" spans="2:7" ht="15" x14ac:dyDescent="0.25">
      <c r="B79" s="250" t="s">
        <v>188</v>
      </c>
      <c r="C79" s="250"/>
      <c r="D79" s="250"/>
      <c r="E79" s="250"/>
      <c r="F79" s="250"/>
      <c r="G79" s="103">
        <f>SUM(G75:G78)</f>
        <v>164.03040000000001</v>
      </c>
    </row>
    <row r="81" spans="2:7" ht="15.75" x14ac:dyDescent="0.25">
      <c r="B81" s="104" t="s">
        <v>251</v>
      </c>
      <c r="C81" s="251" t="s">
        <v>210</v>
      </c>
      <c r="D81" s="252"/>
      <c r="E81" s="252"/>
      <c r="F81" s="252"/>
      <c r="G81" s="253"/>
    </row>
    <row r="82" spans="2:7" ht="15.75" x14ac:dyDescent="0.25">
      <c r="B82" s="57" t="s">
        <v>212</v>
      </c>
      <c r="C82" s="31" t="s">
        <v>211</v>
      </c>
      <c r="D82" s="30" t="s">
        <v>202</v>
      </c>
      <c r="E82" s="32">
        <v>1</v>
      </c>
      <c r="F82" s="56">
        <v>412.5</v>
      </c>
      <c r="G82" s="56">
        <f>E82*F82</f>
        <v>412.5</v>
      </c>
    </row>
    <row r="83" spans="2:7" ht="15.75" x14ac:dyDescent="0.25">
      <c r="B83" s="57" t="s">
        <v>200</v>
      </c>
      <c r="C83" s="31" t="s">
        <v>28</v>
      </c>
      <c r="D83" s="30" t="s">
        <v>26</v>
      </c>
      <c r="E83" s="32">
        <v>0.25</v>
      </c>
      <c r="F83" s="56">
        <v>15.19</v>
      </c>
      <c r="G83" s="56">
        <f t="shared" ref="G83" si="11">E83*F83</f>
        <v>3.7974999999999999</v>
      </c>
    </row>
    <row r="84" spans="2:7" ht="15.75" x14ac:dyDescent="0.25">
      <c r="B84" s="57" t="s">
        <v>201</v>
      </c>
      <c r="C84" s="31" t="s">
        <v>29</v>
      </c>
      <c r="D84" s="30" t="s">
        <v>26</v>
      </c>
      <c r="E84" s="32">
        <v>0.25</v>
      </c>
      <c r="F84" s="56">
        <v>19.53</v>
      </c>
      <c r="G84" s="56">
        <f>E84*F84</f>
        <v>4.8825000000000003</v>
      </c>
    </row>
    <row r="85" spans="2:7" ht="15" x14ac:dyDescent="0.25">
      <c r="B85" s="250" t="s">
        <v>188</v>
      </c>
      <c r="C85" s="250"/>
      <c r="D85" s="250"/>
      <c r="E85" s="250"/>
      <c r="F85" s="250"/>
      <c r="G85" s="103">
        <f>SUM(G82:G84)</f>
        <v>421.18</v>
      </c>
    </row>
    <row r="87" spans="2:7" ht="25.5" customHeight="1" x14ac:dyDescent="0.25">
      <c r="B87" s="104" t="s">
        <v>252</v>
      </c>
      <c r="C87" s="251" t="s">
        <v>215</v>
      </c>
      <c r="D87" s="252"/>
      <c r="E87" s="252"/>
      <c r="F87" s="252"/>
      <c r="G87" s="253"/>
    </row>
    <row r="88" spans="2:7" ht="15.75" x14ac:dyDescent="0.25">
      <c r="B88" s="57" t="s">
        <v>212</v>
      </c>
      <c r="C88" s="31" t="s">
        <v>214</v>
      </c>
      <c r="D88" s="30" t="s">
        <v>202</v>
      </c>
      <c r="E88" s="32">
        <v>1</v>
      </c>
      <c r="F88" s="56">
        <v>11.99</v>
      </c>
      <c r="G88" s="56">
        <f>E88*F88</f>
        <v>11.99</v>
      </c>
    </row>
    <row r="89" spans="2:7" ht="15.75" x14ac:dyDescent="0.25">
      <c r="B89" s="30">
        <v>88316</v>
      </c>
      <c r="C89" s="31" t="s">
        <v>38</v>
      </c>
      <c r="D89" s="30" t="s">
        <v>26</v>
      </c>
      <c r="E89" s="112">
        <v>0.16</v>
      </c>
      <c r="F89" s="33">
        <v>15.16</v>
      </c>
      <c r="G89" s="34">
        <f t="shared" ref="G89" si="12">E89*F89</f>
        <v>2.4256000000000002</v>
      </c>
    </row>
    <row r="90" spans="2:7" ht="15" x14ac:dyDescent="0.25">
      <c r="B90" s="250" t="s">
        <v>188</v>
      </c>
      <c r="C90" s="250"/>
      <c r="D90" s="250"/>
      <c r="E90" s="250"/>
      <c r="F90" s="250"/>
      <c r="G90" s="103">
        <f>SUM(G88:G89)</f>
        <v>14.415600000000001</v>
      </c>
    </row>
    <row r="92" spans="2:7" ht="15.75" x14ac:dyDescent="0.25">
      <c r="B92" s="104" t="s">
        <v>253</v>
      </c>
      <c r="C92" s="251" t="s">
        <v>217</v>
      </c>
      <c r="D92" s="252"/>
      <c r="E92" s="252"/>
      <c r="F92" s="252"/>
      <c r="G92" s="253"/>
    </row>
    <row r="93" spans="2:7" ht="28.5" x14ac:dyDescent="0.25">
      <c r="B93" s="57" t="s">
        <v>212</v>
      </c>
      <c r="C93" s="107" t="s">
        <v>217</v>
      </c>
      <c r="D93" s="30" t="s">
        <v>202</v>
      </c>
      <c r="E93" s="32">
        <v>1</v>
      </c>
      <c r="F93" s="56">
        <v>21.9</v>
      </c>
      <c r="G93" s="56">
        <f>E93*F93</f>
        <v>21.9</v>
      </c>
    </row>
    <row r="94" spans="2:7" ht="15.75" x14ac:dyDescent="0.25">
      <c r="B94" s="30">
        <v>88316</v>
      </c>
      <c r="C94" s="31" t="s">
        <v>38</v>
      </c>
      <c r="D94" s="30" t="s">
        <v>26</v>
      </c>
      <c r="E94" s="112">
        <v>0.16</v>
      </c>
      <c r="F94" s="33">
        <v>15.16</v>
      </c>
      <c r="G94" s="34">
        <f t="shared" ref="G94" si="13">E94*F94</f>
        <v>2.4256000000000002</v>
      </c>
    </row>
    <row r="95" spans="2:7" ht="15" x14ac:dyDescent="0.25">
      <c r="B95" s="250" t="s">
        <v>188</v>
      </c>
      <c r="C95" s="250"/>
      <c r="D95" s="250"/>
      <c r="E95" s="250"/>
      <c r="F95" s="250"/>
      <c r="G95" s="103">
        <f>SUM(G93:G94)</f>
        <v>24.325599999999998</v>
      </c>
    </row>
    <row r="97" spans="2:7" ht="15.75" x14ac:dyDescent="0.25">
      <c r="B97" s="104" t="s">
        <v>254</v>
      </c>
      <c r="C97" s="251" t="s">
        <v>218</v>
      </c>
      <c r="D97" s="252"/>
      <c r="E97" s="252"/>
      <c r="F97" s="252"/>
      <c r="G97" s="253"/>
    </row>
    <row r="98" spans="2:7" ht="28.5" x14ac:dyDescent="0.25">
      <c r="B98" s="57" t="s">
        <v>212</v>
      </c>
      <c r="C98" s="107" t="s">
        <v>219</v>
      </c>
      <c r="D98" s="30" t="s">
        <v>202</v>
      </c>
      <c r="E98" s="32">
        <v>1</v>
      </c>
      <c r="F98" s="56">
        <v>11.99</v>
      </c>
      <c r="G98" s="56">
        <f>E98*F98</f>
        <v>11.99</v>
      </c>
    </row>
    <row r="99" spans="2:7" ht="15.75" x14ac:dyDescent="0.25">
      <c r="B99" s="30">
        <v>88316</v>
      </c>
      <c r="C99" s="31" t="s">
        <v>38</v>
      </c>
      <c r="D99" s="30" t="s">
        <v>26</v>
      </c>
      <c r="E99" s="112">
        <v>0.16</v>
      </c>
      <c r="F99" s="33">
        <v>15.16</v>
      </c>
      <c r="G99" s="34">
        <f t="shared" ref="G99" si="14">E99*F99</f>
        <v>2.4256000000000002</v>
      </c>
    </row>
    <row r="100" spans="2:7" ht="15" x14ac:dyDescent="0.25">
      <c r="B100" s="250" t="s">
        <v>188</v>
      </c>
      <c r="C100" s="250"/>
      <c r="D100" s="250"/>
      <c r="E100" s="250"/>
      <c r="F100" s="250"/>
      <c r="G100" s="103">
        <f>SUM(G98:G99)</f>
        <v>14.415600000000001</v>
      </c>
    </row>
    <row r="102" spans="2:7" ht="15.75" x14ac:dyDescent="0.25">
      <c r="B102" s="104" t="s">
        <v>255</v>
      </c>
      <c r="C102" s="251" t="s">
        <v>183</v>
      </c>
      <c r="D102" s="252"/>
      <c r="E102" s="252"/>
      <c r="F102" s="252"/>
      <c r="G102" s="253"/>
    </row>
    <row r="103" spans="2:7" ht="31.5" x14ac:dyDescent="0.25">
      <c r="B103" s="57" t="s">
        <v>212</v>
      </c>
      <c r="C103" s="31" t="s">
        <v>223</v>
      </c>
      <c r="D103" s="30" t="s">
        <v>202</v>
      </c>
      <c r="E103" s="32">
        <v>1</v>
      </c>
      <c r="F103" s="56">
        <v>4820.3999999999996</v>
      </c>
      <c r="G103" s="56">
        <f>E103*F103</f>
        <v>4820.3999999999996</v>
      </c>
    </row>
    <row r="104" spans="2:7" ht="47.25" x14ac:dyDescent="0.25">
      <c r="B104" s="57">
        <v>43701</v>
      </c>
      <c r="C104" s="31" t="s">
        <v>224</v>
      </c>
      <c r="D104" s="30" t="s">
        <v>7</v>
      </c>
      <c r="E104" s="121">
        <f>(3.5*0.4*4)*9.6</f>
        <v>53.760000000000005</v>
      </c>
      <c r="F104" s="122">
        <v>46.14</v>
      </c>
      <c r="G104" s="56">
        <f>E104*F104</f>
        <v>2480.4864000000002</v>
      </c>
    </row>
    <row r="105" spans="2:7" ht="15.75" x14ac:dyDescent="0.25">
      <c r="B105" s="57">
        <v>88247</v>
      </c>
      <c r="C105" s="31" t="s">
        <v>28</v>
      </c>
      <c r="D105" s="30" t="s">
        <v>26</v>
      </c>
      <c r="E105" s="32">
        <v>1.5</v>
      </c>
      <c r="F105" s="56">
        <v>15.19</v>
      </c>
      <c r="G105" s="56">
        <f t="shared" ref="G105" si="15">E105*F105</f>
        <v>22.785</v>
      </c>
    </row>
    <row r="106" spans="2:7" ht="15.75" x14ac:dyDescent="0.25">
      <c r="B106" s="57" t="s">
        <v>201</v>
      </c>
      <c r="C106" s="31" t="s">
        <v>29</v>
      </c>
      <c r="D106" s="30" t="s">
        <v>26</v>
      </c>
      <c r="E106" s="32">
        <v>1.5</v>
      </c>
      <c r="F106" s="56">
        <v>19.53</v>
      </c>
      <c r="G106" s="56">
        <f>E106*F106</f>
        <v>29.295000000000002</v>
      </c>
    </row>
    <row r="107" spans="2:7" ht="15.75" x14ac:dyDescent="0.25">
      <c r="B107" s="57">
        <v>88251</v>
      </c>
      <c r="C107" s="31" t="s">
        <v>225</v>
      </c>
      <c r="D107" s="30" t="s">
        <v>26</v>
      </c>
      <c r="E107" s="32">
        <v>1.1000000000000001</v>
      </c>
      <c r="F107" s="56">
        <v>16.05</v>
      </c>
      <c r="G107" s="56">
        <f t="shared" ref="G107:G108" si="16">E107*F107</f>
        <v>17.655000000000001</v>
      </c>
    </row>
    <row r="108" spans="2:7" ht="15.75" x14ac:dyDescent="0.25">
      <c r="B108" s="57">
        <v>88315</v>
      </c>
      <c r="C108" s="31" t="s">
        <v>81</v>
      </c>
      <c r="D108" s="30" t="s">
        <v>26</v>
      </c>
      <c r="E108" s="32">
        <v>1.1000000000000001</v>
      </c>
      <c r="F108" s="56">
        <v>18.75</v>
      </c>
      <c r="G108" s="56">
        <f t="shared" si="16"/>
        <v>20.625</v>
      </c>
    </row>
    <row r="109" spans="2:7" ht="15" x14ac:dyDescent="0.25">
      <c r="B109" s="250" t="s">
        <v>188</v>
      </c>
      <c r="C109" s="250"/>
      <c r="D109" s="250"/>
      <c r="E109" s="250"/>
      <c r="F109" s="250"/>
      <c r="G109" s="103">
        <f>SUM(G103:G108)</f>
        <v>7391.2463999999991</v>
      </c>
    </row>
    <row r="110" spans="2:7" x14ac:dyDescent="0.25">
      <c r="C110" s="120" t="s">
        <v>220</v>
      </c>
    </row>
    <row r="111" spans="2:7" ht="15.75" x14ac:dyDescent="0.25">
      <c r="B111" s="104" t="s">
        <v>256</v>
      </c>
      <c r="C111" s="251" t="s">
        <v>182</v>
      </c>
      <c r="D111" s="252"/>
      <c r="E111" s="252"/>
      <c r="F111" s="252"/>
      <c r="G111" s="253"/>
    </row>
    <row r="112" spans="2:7" ht="31.5" x14ac:dyDescent="0.25">
      <c r="B112" s="57" t="s">
        <v>212</v>
      </c>
      <c r="C112" s="31" t="s">
        <v>227</v>
      </c>
      <c r="D112" s="30" t="s">
        <v>202</v>
      </c>
      <c r="E112" s="32">
        <v>1</v>
      </c>
      <c r="F112" s="56">
        <v>999</v>
      </c>
      <c r="G112" s="56">
        <f>E112*F112</f>
        <v>999</v>
      </c>
    </row>
    <row r="113" spans="2:7" ht="31.5" x14ac:dyDescent="0.25">
      <c r="B113" s="57">
        <v>93143</v>
      </c>
      <c r="C113" s="31" t="s">
        <v>232</v>
      </c>
      <c r="D113" s="30" t="s">
        <v>231</v>
      </c>
      <c r="E113" s="32">
        <v>1</v>
      </c>
      <c r="F113" s="56">
        <v>148.91999999999999</v>
      </c>
      <c r="G113" s="56">
        <f>E113*F113</f>
        <v>148.91999999999999</v>
      </c>
    </row>
    <row r="114" spans="2:7" ht="31.5" x14ac:dyDescent="0.25">
      <c r="B114" s="57">
        <v>97622</v>
      </c>
      <c r="C114" s="31" t="s">
        <v>122</v>
      </c>
      <c r="D114" s="30" t="s">
        <v>229</v>
      </c>
      <c r="E114" s="32">
        <f>0.6*0.6</f>
        <v>0.36</v>
      </c>
      <c r="F114" s="56">
        <v>39.479999999999997</v>
      </c>
      <c r="G114" s="56">
        <f t="shared" ref="G114:G119" si="17">E114*F114</f>
        <v>14.212799999999998</v>
      </c>
    </row>
    <row r="115" spans="2:7" ht="47.25" x14ac:dyDescent="0.25">
      <c r="B115" s="57">
        <v>87792</v>
      </c>
      <c r="C115" s="31" t="s">
        <v>228</v>
      </c>
      <c r="D115" s="30" t="s">
        <v>112</v>
      </c>
      <c r="E115" s="32">
        <v>0.5</v>
      </c>
      <c r="F115" s="56">
        <v>30.75</v>
      </c>
      <c r="G115" s="56">
        <f t="shared" si="17"/>
        <v>15.375</v>
      </c>
    </row>
    <row r="116" spans="2:7" ht="15.75" x14ac:dyDescent="0.25">
      <c r="B116" s="57">
        <v>88247</v>
      </c>
      <c r="C116" s="31" t="s">
        <v>28</v>
      </c>
      <c r="D116" s="30" t="s">
        <v>26</v>
      </c>
      <c r="E116" s="32">
        <v>0.6</v>
      </c>
      <c r="F116" s="56">
        <v>15.19</v>
      </c>
      <c r="G116" s="56">
        <f t="shared" si="17"/>
        <v>9.113999999999999</v>
      </c>
    </row>
    <row r="117" spans="2:7" ht="15.75" x14ac:dyDescent="0.25">
      <c r="B117" s="57" t="s">
        <v>201</v>
      </c>
      <c r="C117" s="31" t="s">
        <v>29</v>
      </c>
      <c r="D117" s="30" t="s">
        <v>26</v>
      </c>
      <c r="E117" s="32">
        <v>0.5</v>
      </c>
      <c r="F117" s="56">
        <v>19.53</v>
      </c>
      <c r="G117" s="56">
        <f t="shared" si="17"/>
        <v>9.7650000000000006</v>
      </c>
    </row>
    <row r="118" spans="2:7" ht="15.75" x14ac:dyDescent="0.25">
      <c r="B118" s="57">
        <v>88242</v>
      </c>
      <c r="C118" s="31" t="s">
        <v>221</v>
      </c>
      <c r="D118" s="30" t="s">
        <v>26</v>
      </c>
      <c r="E118" s="32">
        <v>1.1200000000000001</v>
      </c>
      <c r="F118" s="56">
        <v>15.22</v>
      </c>
      <c r="G118" s="56">
        <f t="shared" si="17"/>
        <v>17.046400000000002</v>
      </c>
    </row>
    <row r="119" spans="2:7" ht="15.75" x14ac:dyDescent="0.25">
      <c r="B119" s="57">
        <v>88309</v>
      </c>
      <c r="C119" s="31" t="s">
        <v>222</v>
      </c>
      <c r="D119" s="30" t="s">
        <v>26</v>
      </c>
      <c r="E119" s="32">
        <v>1.1200000000000001</v>
      </c>
      <c r="F119" s="56">
        <v>18.86</v>
      </c>
      <c r="G119" s="56">
        <f t="shared" si="17"/>
        <v>21.123200000000001</v>
      </c>
    </row>
    <row r="120" spans="2:7" ht="19.5" customHeight="1" x14ac:dyDescent="0.25">
      <c r="B120" s="250" t="s">
        <v>188</v>
      </c>
      <c r="C120" s="250"/>
      <c r="D120" s="250"/>
      <c r="E120" s="250"/>
      <c r="F120" s="250"/>
      <c r="G120" s="103">
        <f>SUM(G112:G119)</f>
        <v>1234.5564000000002</v>
      </c>
    </row>
    <row r="122" spans="2:7" ht="15.75" x14ac:dyDescent="0.25">
      <c r="B122" s="104" t="s">
        <v>257</v>
      </c>
      <c r="C122" s="251" t="s">
        <v>235</v>
      </c>
      <c r="D122" s="252"/>
      <c r="E122" s="252"/>
      <c r="F122" s="252"/>
      <c r="G122" s="253"/>
    </row>
    <row r="123" spans="2:7" ht="31.5" x14ac:dyDescent="0.25">
      <c r="B123" s="57">
        <v>98296</v>
      </c>
      <c r="C123" s="31" t="s">
        <v>233</v>
      </c>
      <c r="D123" s="30" t="s">
        <v>6</v>
      </c>
      <c r="E123" s="32">
        <v>250</v>
      </c>
      <c r="F123" s="56">
        <v>3.6</v>
      </c>
      <c r="G123" s="56">
        <f>E123*F123</f>
        <v>900</v>
      </c>
    </row>
    <row r="124" spans="2:7" ht="15.75" x14ac:dyDescent="0.25">
      <c r="B124" s="57">
        <v>98307</v>
      </c>
      <c r="C124" s="31" t="s">
        <v>234</v>
      </c>
      <c r="D124" s="30" t="s">
        <v>231</v>
      </c>
      <c r="E124" s="32">
        <v>1</v>
      </c>
      <c r="F124" s="56">
        <v>38.229999999999997</v>
      </c>
      <c r="G124" s="56">
        <f>E124*F124</f>
        <v>38.229999999999997</v>
      </c>
    </row>
    <row r="125" spans="2:7" ht="15.75" x14ac:dyDescent="0.25">
      <c r="B125" s="57">
        <v>88247</v>
      </c>
      <c r="C125" s="31" t="s">
        <v>28</v>
      </c>
      <c r="D125" s="30" t="s">
        <v>26</v>
      </c>
      <c r="E125" s="32">
        <v>4</v>
      </c>
      <c r="F125" s="56">
        <v>15.19</v>
      </c>
      <c r="G125" s="56">
        <f t="shared" ref="G125" si="18">E125*F125</f>
        <v>60.76</v>
      </c>
    </row>
    <row r="126" spans="2:7" ht="15.75" x14ac:dyDescent="0.25">
      <c r="B126" s="57">
        <v>88264</v>
      </c>
      <c r="C126" s="31" t="s">
        <v>29</v>
      </c>
      <c r="D126" s="30" t="s">
        <v>26</v>
      </c>
      <c r="E126" s="32">
        <v>4</v>
      </c>
      <c r="F126" s="56">
        <v>19.53</v>
      </c>
      <c r="G126" s="56">
        <f>E126*F126</f>
        <v>78.12</v>
      </c>
    </row>
    <row r="127" spans="2:7" ht="15" x14ac:dyDescent="0.25">
      <c r="B127" s="250" t="s">
        <v>188</v>
      </c>
      <c r="C127" s="250"/>
      <c r="D127" s="250"/>
      <c r="E127" s="250"/>
      <c r="F127" s="250"/>
      <c r="G127" s="103">
        <f>SUM(G123:G126)</f>
        <v>1077.1100000000001</v>
      </c>
    </row>
    <row r="129" spans="2:7" ht="15.75" x14ac:dyDescent="0.25">
      <c r="B129" s="104" t="s">
        <v>258</v>
      </c>
      <c r="C129" s="251" t="s">
        <v>237</v>
      </c>
      <c r="D129" s="252"/>
      <c r="E129" s="252"/>
      <c r="F129" s="252"/>
      <c r="G129" s="253"/>
    </row>
    <row r="130" spans="2:7" ht="31.5" x14ac:dyDescent="0.25">
      <c r="B130" s="57">
        <v>43184</v>
      </c>
      <c r="C130" s="31" t="s">
        <v>276</v>
      </c>
      <c r="D130" s="30" t="s">
        <v>231</v>
      </c>
      <c r="E130" s="32">
        <v>1</v>
      </c>
      <c r="F130" s="56">
        <v>3473</v>
      </c>
      <c r="G130" s="56">
        <f>E130*F130</f>
        <v>3473</v>
      </c>
    </row>
    <row r="131" spans="2:7" ht="15.75" x14ac:dyDescent="0.25">
      <c r="B131" s="57">
        <v>2388</v>
      </c>
      <c r="C131" s="31" t="s">
        <v>238</v>
      </c>
      <c r="D131" s="30" t="s">
        <v>231</v>
      </c>
      <c r="E131" s="32">
        <v>1</v>
      </c>
      <c r="F131" s="56">
        <v>64.53</v>
      </c>
      <c r="G131" s="56">
        <f t="shared" ref="G131:G136" si="19">E131*F131</f>
        <v>64.53</v>
      </c>
    </row>
    <row r="132" spans="2:7" ht="47.25" x14ac:dyDescent="0.25">
      <c r="B132" s="57">
        <v>994</v>
      </c>
      <c r="C132" s="31" t="s">
        <v>239</v>
      </c>
      <c r="D132" s="30" t="s">
        <v>6</v>
      </c>
      <c r="E132" s="32">
        <v>150</v>
      </c>
      <c r="F132" s="56">
        <v>7.16</v>
      </c>
      <c r="G132" s="56">
        <f t="shared" si="19"/>
        <v>1074</v>
      </c>
    </row>
    <row r="133" spans="2:7" ht="15.75" x14ac:dyDescent="0.25">
      <c r="B133" s="57">
        <v>2687</v>
      </c>
      <c r="C133" s="31" t="s">
        <v>278</v>
      </c>
      <c r="D133" s="30" t="s">
        <v>6</v>
      </c>
      <c r="E133" s="32">
        <v>120</v>
      </c>
      <c r="F133" s="56">
        <v>1.67</v>
      </c>
      <c r="G133" s="56">
        <f t="shared" si="19"/>
        <v>200.39999999999998</v>
      </c>
    </row>
    <row r="134" spans="2:7" ht="15.75" x14ac:dyDescent="0.25">
      <c r="B134" s="57">
        <v>98307</v>
      </c>
      <c r="C134" s="31" t="s">
        <v>234</v>
      </c>
      <c r="D134" s="30" t="s">
        <v>231</v>
      </c>
      <c r="E134" s="32">
        <v>1</v>
      </c>
      <c r="F134" s="56">
        <v>37.24</v>
      </c>
      <c r="G134" s="56">
        <f t="shared" si="19"/>
        <v>37.24</v>
      </c>
    </row>
    <row r="135" spans="2:7" ht="15.75" x14ac:dyDescent="0.25">
      <c r="B135" s="57" t="s">
        <v>200</v>
      </c>
      <c r="C135" s="31" t="s">
        <v>28</v>
      </c>
      <c r="D135" s="30" t="s">
        <v>26</v>
      </c>
      <c r="E135" s="32">
        <v>4</v>
      </c>
      <c r="F135" s="56">
        <v>15.19</v>
      </c>
      <c r="G135" s="56">
        <f t="shared" si="19"/>
        <v>60.76</v>
      </c>
    </row>
    <row r="136" spans="2:7" ht="15.75" x14ac:dyDescent="0.25">
      <c r="B136" s="57" t="s">
        <v>201</v>
      </c>
      <c r="C136" s="31" t="s">
        <v>29</v>
      </c>
      <c r="D136" s="30" t="s">
        <v>26</v>
      </c>
      <c r="E136" s="32">
        <v>4</v>
      </c>
      <c r="F136" s="56">
        <v>19.53</v>
      </c>
      <c r="G136" s="56">
        <f t="shared" si="19"/>
        <v>78.12</v>
      </c>
    </row>
    <row r="137" spans="2:7" ht="15" x14ac:dyDescent="0.25">
      <c r="B137" s="250" t="s">
        <v>188</v>
      </c>
      <c r="C137" s="250"/>
      <c r="D137" s="250"/>
      <c r="E137" s="250"/>
      <c r="F137" s="250"/>
      <c r="G137" s="103">
        <f>SUM(G130:G136)</f>
        <v>4988.05</v>
      </c>
    </row>
    <row r="138" spans="2:7" s="167" customFormat="1" ht="15" x14ac:dyDescent="0.25">
      <c r="B138" s="165"/>
      <c r="C138" s="165"/>
      <c r="D138" s="165"/>
      <c r="E138" s="165"/>
      <c r="F138" s="165"/>
      <c r="G138" s="166"/>
    </row>
    <row r="139" spans="2:7" ht="27" customHeight="1" x14ac:dyDescent="0.25">
      <c r="B139" s="104" t="s">
        <v>260</v>
      </c>
      <c r="C139" s="251" t="s">
        <v>237</v>
      </c>
      <c r="D139" s="252"/>
      <c r="E139" s="252"/>
      <c r="F139" s="252"/>
      <c r="G139" s="253"/>
    </row>
    <row r="140" spans="2:7" ht="31.5" x14ac:dyDescent="0.25">
      <c r="B140" s="57">
        <v>43184</v>
      </c>
      <c r="C140" s="31" t="s">
        <v>276</v>
      </c>
      <c r="D140" s="30" t="s">
        <v>231</v>
      </c>
      <c r="E140" s="32">
        <v>1</v>
      </c>
      <c r="F140" s="56">
        <v>4800</v>
      </c>
      <c r="G140" s="56">
        <f>E140*F140</f>
        <v>4800</v>
      </c>
    </row>
    <row r="141" spans="2:7" ht="15.75" x14ac:dyDescent="0.25">
      <c r="B141" s="57">
        <v>2388</v>
      </c>
      <c r="C141" s="31" t="s">
        <v>238</v>
      </c>
      <c r="D141" s="30" t="s">
        <v>231</v>
      </c>
      <c r="E141" s="32">
        <v>1</v>
      </c>
      <c r="F141" s="56">
        <v>64.53</v>
      </c>
      <c r="G141" s="56">
        <f t="shared" ref="G141:G146" si="20">E141*F141</f>
        <v>64.53</v>
      </c>
    </row>
    <row r="142" spans="2:7" ht="47.25" x14ac:dyDescent="0.25">
      <c r="B142" s="57">
        <v>994</v>
      </c>
      <c r="C142" s="31" t="s">
        <v>239</v>
      </c>
      <c r="D142" s="30" t="s">
        <v>6</v>
      </c>
      <c r="E142" s="32">
        <v>150</v>
      </c>
      <c r="F142" s="56">
        <v>7.16</v>
      </c>
      <c r="G142" s="56">
        <f t="shared" si="20"/>
        <v>1074</v>
      </c>
    </row>
    <row r="143" spans="2:7" ht="15.75" x14ac:dyDescent="0.25">
      <c r="B143" s="57">
        <v>2687</v>
      </c>
      <c r="C143" s="31" t="s">
        <v>278</v>
      </c>
      <c r="D143" s="30" t="s">
        <v>6</v>
      </c>
      <c r="E143" s="32">
        <v>120</v>
      </c>
      <c r="F143" s="56">
        <v>1.67</v>
      </c>
      <c r="G143" s="56">
        <f t="shared" si="20"/>
        <v>200.39999999999998</v>
      </c>
    </row>
    <row r="144" spans="2:7" ht="15.75" x14ac:dyDescent="0.25">
      <c r="B144" s="57">
        <v>98307</v>
      </c>
      <c r="C144" s="31" t="s">
        <v>234</v>
      </c>
      <c r="D144" s="30" t="s">
        <v>231</v>
      </c>
      <c r="E144" s="32">
        <v>1</v>
      </c>
      <c r="F144" s="56">
        <v>37.24</v>
      </c>
      <c r="G144" s="56">
        <f t="shared" si="20"/>
        <v>37.24</v>
      </c>
    </row>
    <row r="145" spans="2:7" ht="15.75" x14ac:dyDescent="0.25">
      <c r="B145" s="57" t="s">
        <v>200</v>
      </c>
      <c r="C145" s="31" t="s">
        <v>28</v>
      </c>
      <c r="D145" s="30" t="s">
        <v>26</v>
      </c>
      <c r="E145" s="32">
        <v>4</v>
      </c>
      <c r="F145" s="56">
        <v>15.19</v>
      </c>
      <c r="G145" s="56">
        <f t="shared" si="20"/>
        <v>60.76</v>
      </c>
    </row>
    <row r="146" spans="2:7" ht="15.75" x14ac:dyDescent="0.25">
      <c r="B146" s="57" t="s">
        <v>201</v>
      </c>
      <c r="C146" s="31" t="s">
        <v>29</v>
      </c>
      <c r="D146" s="30" t="s">
        <v>26</v>
      </c>
      <c r="E146" s="32">
        <v>4</v>
      </c>
      <c r="F146" s="56">
        <v>19.53</v>
      </c>
      <c r="G146" s="56">
        <f t="shared" si="20"/>
        <v>78.12</v>
      </c>
    </row>
    <row r="147" spans="2:7" ht="15" x14ac:dyDescent="0.25">
      <c r="B147" s="250" t="s">
        <v>188</v>
      </c>
      <c r="C147" s="250"/>
      <c r="D147" s="250"/>
      <c r="E147" s="250"/>
      <c r="F147" s="250"/>
      <c r="G147" s="103">
        <f>SUM(G140:G146)</f>
        <v>6315.0499999999993</v>
      </c>
    </row>
    <row r="148" spans="2:7" s="278" customFormat="1" ht="15" x14ac:dyDescent="0.25">
      <c r="B148" s="274"/>
      <c r="C148" s="275"/>
      <c r="D148" s="276"/>
      <c r="E148" s="276"/>
      <c r="F148" s="276"/>
      <c r="G148" s="277"/>
    </row>
    <row r="149" spans="2:7" ht="23.25" customHeight="1" x14ac:dyDescent="0.25">
      <c r="B149" s="104" t="s">
        <v>263</v>
      </c>
      <c r="C149" s="251" t="s">
        <v>264</v>
      </c>
      <c r="D149" s="252"/>
      <c r="E149" s="252"/>
      <c r="F149" s="252"/>
      <c r="G149" s="253"/>
    </row>
    <row r="150" spans="2:7" ht="35.25" customHeight="1" x14ac:dyDescent="0.25">
      <c r="B150" s="57">
        <v>89356</v>
      </c>
      <c r="C150" s="31" t="s">
        <v>265</v>
      </c>
      <c r="D150" s="30" t="s">
        <v>6</v>
      </c>
      <c r="E150" s="32">
        <v>30</v>
      </c>
      <c r="F150" s="56">
        <v>16.75</v>
      </c>
      <c r="G150" s="56">
        <f t="shared" ref="G150:G157" si="21">E150*F150</f>
        <v>502.5</v>
      </c>
    </row>
    <row r="151" spans="2:7" ht="35.25" customHeight="1" x14ac:dyDescent="0.25">
      <c r="B151" s="57">
        <v>89362</v>
      </c>
      <c r="C151" s="31" t="s">
        <v>266</v>
      </c>
      <c r="D151" s="30" t="s">
        <v>202</v>
      </c>
      <c r="E151" s="32">
        <v>4</v>
      </c>
      <c r="F151" s="56">
        <v>6.96</v>
      </c>
      <c r="G151" s="56">
        <f t="shared" si="21"/>
        <v>27.84</v>
      </c>
    </row>
    <row r="152" spans="2:7" ht="50.25" customHeight="1" x14ac:dyDescent="0.25">
      <c r="B152" s="57">
        <v>89366</v>
      </c>
      <c r="C152" s="31" t="s">
        <v>267</v>
      </c>
      <c r="D152" s="30" t="s">
        <v>202</v>
      </c>
      <c r="E152" s="32">
        <v>2</v>
      </c>
      <c r="F152" s="56">
        <v>13.98</v>
      </c>
      <c r="G152" s="56">
        <f t="shared" si="21"/>
        <v>27.96</v>
      </c>
    </row>
    <row r="153" spans="2:7" ht="35.25" customHeight="1" x14ac:dyDescent="0.25">
      <c r="B153" s="57">
        <v>89395</v>
      </c>
      <c r="C153" s="31" t="s">
        <v>268</v>
      </c>
      <c r="D153" s="30" t="s">
        <v>202</v>
      </c>
      <c r="E153" s="32">
        <v>1</v>
      </c>
      <c r="F153" s="56">
        <v>9.84</v>
      </c>
      <c r="G153" s="56">
        <f t="shared" si="21"/>
        <v>9.84</v>
      </c>
    </row>
    <row r="154" spans="2:7" ht="35.25" customHeight="1" x14ac:dyDescent="0.25">
      <c r="B154" s="57">
        <v>90443</v>
      </c>
      <c r="C154" s="31" t="s">
        <v>269</v>
      </c>
      <c r="D154" s="30" t="s">
        <v>6</v>
      </c>
      <c r="E154" s="32">
        <v>12</v>
      </c>
      <c r="F154" s="56">
        <v>9.41</v>
      </c>
      <c r="G154" s="56">
        <f t="shared" si="21"/>
        <v>112.92</v>
      </c>
    </row>
    <row r="155" spans="2:7" ht="35.25" customHeight="1" x14ac:dyDescent="0.25">
      <c r="B155" s="57">
        <v>90466</v>
      </c>
      <c r="C155" s="31" t="s">
        <v>270</v>
      </c>
      <c r="D155" s="30" t="s">
        <v>6</v>
      </c>
      <c r="E155" s="32">
        <v>12</v>
      </c>
      <c r="F155" s="56">
        <v>9.75</v>
      </c>
      <c r="G155" s="56">
        <f t="shared" si="21"/>
        <v>117</v>
      </c>
    </row>
    <row r="156" spans="2:7" ht="35.25" customHeight="1" x14ac:dyDescent="0.25">
      <c r="B156" s="57">
        <v>90445</v>
      </c>
      <c r="C156" s="31" t="s">
        <v>271</v>
      </c>
      <c r="D156" s="30" t="s">
        <v>6</v>
      </c>
      <c r="E156" s="32">
        <v>4</v>
      </c>
      <c r="F156" s="56">
        <v>19.100000000000001</v>
      </c>
      <c r="G156" s="56">
        <f t="shared" si="21"/>
        <v>76.400000000000006</v>
      </c>
    </row>
    <row r="157" spans="2:7" ht="35.25" customHeight="1" x14ac:dyDescent="0.25">
      <c r="B157" s="57">
        <v>86916</v>
      </c>
      <c r="C157" s="31" t="s">
        <v>272</v>
      </c>
      <c r="D157" s="30" t="s">
        <v>30</v>
      </c>
      <c r="E157" s="32">
        <v>1</v>
      </c>
      <c r="F157" s="56">
        <v>48.67</v>
      </c>
      <c r="G157" s="56">
        <f t="shared" si="21"/>
        <v>48.67</v>
      </c>
    </row>
    <row r="158" spans="2:7" ht="15" x14ac:dyDescent="0.25">
      <c r="B158" s="250" t="s">
        <v>188</v>
      </c>
      <c r="C158" s="250"/>
      <c r="D158" s="250"/>
      <c r="E158" s="250"/>
      <c r="F158" s="250"/>
      <c r="G158" s="103">
        <f>SUM(G150:G157)</f>
        <v>923.13</v>
      </c>
    </row>
    <row r="160" spans="2:7" ht="37.5" customHeight="1" x14ac:dyDescent="0.25">
      <c r="B160" s="104" t="s">
        <v>303</v>
      </c>
      <c r="C160" s="251" t="s">
        <v>305</v>
      </c>
      <c r="D160" s="252"/>
      <c r="E160" s="252"/>
      <c r="F160" s="252"/>
      <c r="G160" s="253"/>
    </row>
    <row r="161" spans="2:7" ht="23.25" customHeight="1" x14ac:dyDescent="0.25">
      <c r="B161" s="58">
        <v>38124</v>
      </c>
      <c r="C161" s="31" t="s">
        <v>304</v>
      </c>
      <c r="D161" s="30" t="s">
        <v>30</v>
      </c>
      <c r="E161" s="32">
        <v>1.5</v>
      </c>
      <c r="F161" s="56">
        <v>29.95</v>
      </c>
      <c r="G161" s="56">
        <f>E161*F161</f>
        <v>44.924999999999997</v>
      </c>
    </row>
    <row r="162" spans="2:7" ht="23.25" customHeight="1" x14ac:dyDescent="0.25">
      <c r="B162" s="57">
        <v>130</v>
      </c>
      <c r="C162" s="31" t="s">
        <v>306</v>
      </c>
      <c r="D162" s="30" t="s">
        <v>84</v>
      </c>
      <c r="E162" s="32">
        <v>52</v>
      </c>
      <c r="F162" s="56">
        <v>3.11</v>
      </c>
      <c r="G162" s="56">
        <f t="shared" ref="G162:G164" si="22">E162*F162</f>
        <v>161.72</v>
      </c>
    </row>
    <row r="163" spans="2:7" ht="23.25" customHeight="1" x14ac:dyDescent="0.25">
      <c r="B163" s="58">
        <v>88242</v>
      </c>
      <c r="C163" s="31" t="s">
        <v>221</v>
      </c>
      <c r="D163" s="30" t="s">
        <v>26</v>
      </c>
      <c r="E163" s="32">
        <v>0.8</v>
      </c>
      <c r="F163" s="56">
        <v>15.22</v>
      </c>
      <c r="G163" s="56">
        <f>E163*F163</f>
        <v>12.176000000000002</v>
      </c>
    </row>
    <row r="164" spans="2:7" ht="23.25" customHeight="1" x14ac:dyDescent="0.25">
      <c r="B164" s="57">
        <v>88309</v>
      </c>
      <c r="C164" s="31" t="s">
        <v>222</v>
      </c>
      <c r="D164" s="30" t="s">
        <v>26</v>
      </c>
      <c r="E164" s="32">
        <v>0.8</v>
      </c>
      <c r="F164" s="56">
        <v>18.86</v>
      </c>
      <c r="G164" s="56">
        <f t="shared" si="22"/>
        <v>15.088000000000001</v>
      </c>
    </row>
    <row r="165" spans="2:7" ht="24.75" customHeight="1" x14ac:dyDescent="0.25">
      <c r="B165" s="250" t="s">
        <v>188</v>
      </c>
      <c r="C165" s="250"/>
      <c r="D165" s="250"/>
      <c r="E165" s="250"/>
      <c r="F165" s="250"/>
      <c r="G165" s="103">
        <f>SUM(G161:G164)</f>
        <v>233.90899999999996</v>
      </c>
    </row>
    <row r="167" spans="2:7" ht="15.75" x14ac:dyDescent="0.25">
      <c r="B167" s="104" t="s">
        <v>407</v>
      </c>
      <c r="C167" s="251" t="s">
        <v>90</v>
      </c>
      <c r="D167" s="252"/>
      <c r="E167" s="252"/>
      <c r="F167" s="252"/>
      <c r="G167" s="253"/>
    </row>
    <row r="168" spans="2:7" ht="15.75" x14ac:dyDescent="0.25">
      <c r="B168" s="58">
        <v>88316</v>
      </c>
      <c r="C168" s="31" t="s">
        <v>38</v>
      </c>
      <c r="D168" s="30" t="s">
        <v>26</v>
      </c>
      <c r="E168" s="32">
        <v>16</v>
      </c>
      <c r="F168" s="56">
        <v>15.16</v>
      </c>
      <c r="G168" s="56">
        <f>E168*F168</f>
        <v>242.56</v>
      </c>
    </row>
    <row r="169" spans="2:7" ht="63" x14ac:dyDescent="0.25">
      <c r="B169" s="57">
        <v>73467</v>
      </c>
      <c r="C169" s="31" t="s">
        <v>88</v>
      </c>
      <c r="D169" s="30" t="s">
        <v>9</v>
      </c>
      <c r="E169" s="32">
        <v>2</v>
      </c>
      <c r="F169" s="56">
        <v>145.22</v>
      </c>
      <c r="G169" s="56">
        <f t="shared" ref="G169:G170" si="23">E169*F169</f>
        <v>290.44</v>
      </c>
    </row>
    <row r="170" spans="2:7" ht="47.25" x14ac:dyDescent="0.25">
      <c r="B170" s="57">
        <v>5892</v>
      </c>
      <c r="C170" s="31" t="s">
        <v>89</v>
      </c>
      <c r="D170" s="30" t="s">
        <v>41</v>
      </c>
      <c r="E170" s="32">
        <v>8</v>
      </c>
      <c r="F170" s="56">
        <v>34.39</v>
      </c>
      <c r="G170" s="56">
        <f t="shared" si="23"/>
        <v>275.12</v>
      </c>
    </row>
    <row r="171" spans="2:7" ht="24" customHeight="1" x14ac:dyDescent="0.25">
      <c r="B171" s="250" t="s">
        <v>188</v>
      </c>
      <c r="C171" s="250"/>
      <c r="D171" s="250"/>
      <c r="E171" s="250"/>
      <c r="F171" s="250"/>
      <c r="G171" s="103">
        <f>SUM(G168:G170)</f>
        <v>808.12</v>
      </c>
    </row>
  </sheetData>
  <mergeCells count="48">
    <mergeCell ref="B165:F165"/>
    <mergeCell ref="B2:G2"/>
    <mergeCell ref="B52:F52"/>
    <mergeCell ref="C48:G48"/>
    <mergeCell ref="B58:F58"/>
    <mergeCell ref="C54:G54"/>
    <mergeCell ref="B40:F40"/>
    <mergeCell ref="C29:G29"/>
    <mergeCell ref="B32:F32"/>
    <mergeCell ref="C34:G34"/>
    <mergeCell ref="C7:G7"/>
    <mergeCell ref="B11:F11"/>
    <mergeCell ref="B21:F21"/>
    <mergeCell ref="C13:G13"/>
    <mergeCell ref="B27:F27"/>
    <mergeCell ref="B3:G3"/>
    <mergeCell ref="B171:F171"/>
    <mergeCell ref="C167:G167"/>
    <mergeCell ref="C67:G67"/>
    <mergeCell ref="C42:G42"/>
    <mergeCell ref="B46:F46"/>
    <mergeCell ref="B64:F64"/>
    <mergeCell ref="C60:G60"/>
    <mergeCell ref="C92:G92"/>
    <mergeCell ref="B95:F95"/>
    <mergeCell ref="C97:G97"/>
    <mergeCell ref="B72:F72"/>
    <mergeCell ref="C74:G74"/>
    <mergeCell ref="C160:G160"/>
    <mergeCell ref="B100:F100"/>
    <mergeCell ref="C102:G102"/>
    <mergeCell ref="B109:F109"/>
    <mergeCell ref="C111:G111"/>
    <mergeCell ref="C23:G23"/>
    <mergeCell ref="C149:G149"/>
    <mergeCell ref="B90:F90"/>
    <mergeCell ref="C87:G87"/>
    <mergeCell ref="B79:F79"/>
    <mergeCell ref="C81:G81"/>
    <mergeCell ref="B85:F85"/>
    <mergeCell ref="B147:F147"/>
    <mergeCell ref="B158:F158"/>
    <mergeCell ref="C139:G139"/>
    <mergeCell ref="B120:F120"/>
    <mergeCell ref="C122:G122"/>
    <mergeCell ref="B127:F127"/>
    <mergeCell ref="C129:G129"/>
    <mergeCell ref="B137:F137"/>
  </mergeCells>
  <pageMargins left="0.511811024" right="0.511811024" top="0.78740157499999996" bottom="0.78740157499999996" header="0.31496062000000002" footer="0.31496062000000002"/>
  <pageSetup paperSize="9" scale="48" orientation="portrait" r:id="rId1"/>
  <rowBreaks count="2" manualBreakCount="2">
    <brk id="72" max="16383" man="1"/>
    <brk id="1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view="pageBreakPreview" zoomScaleNormal="100" zoomScaleSheetLayoutView="100" workbookViewId="0">
      <selection activeCell="J8" sqref="J8:J9"/>
    </sheetView>
  </sheetViews>
  <sheetFormatPr defaultColWidth="9.140625" defaultRowHeight="19.7" customHeight="1" x14ac:dyDescent="0.25"/>
  <cols>
    <col min="1" max="1" width="10.28515625" style="283" bestFit="1" customWidth="1"/>
    <col min="2" max="2" width="57.140625" style="283" bestFit="1" customWidth="1"/>
    <col min="3" max="3" width="13.42578125" style="283" bestFit="1" customWidth="1"/>
    <col min="4" max="4" width="8" style="283" bestFit="1" customWidth="1"/>
    <col min="5" max="6" width="12.140625" style="283" customWidth="1"/>
    <col min="7" max="7" width="13.42578125" style="283" bestFit="1" customWidth="1"/>
    <col min="8" max="8" width="12.140625" style="283" customWidth="1"/>
    <col min="9" max="9" width="13.85546875" style="283" bestFit="1" customWidth="1"/>
    <col min="10" max="10" width="14.7109375" style="283" customWidth="1"/>
    <col min="11" max="11" width="14.7109375" style="309" customWidth="1"/>
    <col min="12" max="12" width="13.28515625" style="283" bestFit="1" customWidth="1"/>
    <col min="13" max="16384" width="9.140625" style="283"/>
  </cols>
  <sheetData>
    <row r="1" spans="1:12" ht="12.75" customHeight="1" x14ac:dyDescent="0.25">
      <c r="A1" s="279" t="s">
        <v>409</v>
      </c>
      <c r="B1" s="280"/>
      <c r="C1" s="280"/>
      <c r="D1" s="280"/>
      <c r="E1" s="280"/>
      <c r="F1" s="280"/>
      <c r="G1" s="280"/>
      <c r="H1" s="280"/>
      <c r="I1" s="280"/>
      <c r="J1" s="281"/>
      <c r="K1" s="282"/>
    </row>
    <row r="2" spans="1:12" ht="12.75" customHeight="1" x14ac:dyDescent="0.25">
      <c r="A2" s="284"/>
      <c r="B2" s="285"/>
      <c r="C2" s="285"/>
      <c r="D2" s="285"/>
      <c r="E2" s="285"/>
      <c r="F2" s="285"/>
      <c r="G2" s="285"/>
      <c r="H2" s="285"/>
      <c r="I2" s="285"/>
      <c r="J2" s="286"/>
      <c r="K2" s="282"/>
    </row>
    <row r="3" spans="1:12" ht="12.75" customHeight="1" x14ac:dyDescent="0.25">
      <c r="A3" s="284"/>
      <c r="B3" s="285"/>
      <c r="C3" s="285"/>
      <c r="D3" s="285"/>
      <c r="E3" s="285"/>
      <c r="F3" s="285"/>
      <c r="G3" s="285"/>
      <c r="H3" s="285"/>
      <c r="I3" s="285"/>
      <c r="J3" s="286"/>
      <c r="K3" s="282"/>
    </row>
    <row r="4" spans="1:12" ht="12.75" customHeight="1" x14ac:dyDescent="0.25">
      <c r="A4" s="284"/>
      <c r="B4" s="285"/>
      <c r="C4" s="285"/>
      <c r="D4" s="285"/>
      <c r="E4" s="285"/>
      <c r="F4" s="285"/>
      <c r="G4" s="285"/>
      <c r="H4" s="285"/>
      <c r="I4" s="285"/>
      <c r="J4" s="286"/>
      <c r="K4" s="282"/>
    </row>
    <row r="5" spans="1:12" ht="13.5" customHeight="1" thickBot="1" x14ac:dyDescent="0.3">
      <c r="A5" s="287"/>
      <c r="B5" s="288"/>
      <c r="C5" s="288"/>
      <c r="D5" s="288"/>
      <c r="E5" s="288"/>
      <c r="F5" s="288"/>
      <c r="G5" s="288"/>
      <c r="H5" s="288"/>
      <c r="I5" s="288"/>
      <c r="J5" s="289"/>
      <c r="K5" s="290"/>
    </row>
    <row r="6" spans="1:12" s="295" customFormat="1" ht="13.5" customHeight="1" thickBot="1" x14ac:dyDescent="0.3">
      <c r="A6" s="291" t="s">
        <v>382</v>
      </c>
      <c r="B6" s="422" t="s">
        <v>383</v>
      </c>
      <c r="C6" s="423"/>
      <c r="D6" s="423"/>
      <c r="E6" s="423"/>
      <c r="F6" s="423"/>
      <c r="G6" s="423"/>
      <c r="H6" s="424"/>
      <c r="I6" s="292" t="str">
        <f>[1]RESUMO!C6</f>
        <v>REF.:</v>
      </c>
      <c r="J6" s="293" t="s">
        <v>443</v>
      </c>
      <c r="K6" s="294"/>
    </row>
    <row r="7" spans="1:12" s="295" customFormat="1" ht="13.5" customHeight="1" thickBot="1" x14ac:dyDescent="0.3">
      <c r="A7" s="291" t="s">
        <v>386</v>
      </c>
      <c r="B7" s="422" t="s">
        <v>397</v>
      </c>
      <c r="C7" s="423"/>
      <c r="D7" s="423"/>
      <c r="E7" s="423"/>
      <c r="F7" s="423"/>
      <c r="G7" s="423"/>
      <c r="H7" s="424"/>
      <c r="I7" s="296"/>
      <c r="J7" s="293"/>
      <c r="K7" s="294"/>
    </row>
    <row r="8" spans="1:12" s="295" customFormat="1" ht="13.5" customHeight="1" thickBot="1" x14ac:dyDescent="0.3">
      <c r="A8" s="291" t="s">
        <v>387</v>
      </c>
      <c r="B8" s="422" t="s">
        <v>398</v>
      </c>
      <c r="C8" s="423"/>
      <c r="D8" s="423"/>
      <c r="E8" s="423"/>
      <c r="F8" s="423"/>
      <c r="G8" s="423"/>
      <c r="H8" s="424"/>
      <c r="I8" s="292" t="str">
        <f>[1]RESUMO!C8</f>
        <v>BDI:</v>
      </c>
      <c r="J8" s="297">
        <f>[2]Resumo!D8</f>
        <v>0.28347674918197008</v>
      </c>
      <c r="K8" s="294"/>
    </row>
    <row r="9" spans="1:12" s="295" customFormat="1" ht="13.5" customHeight="1" thickBot="1" x14ac:dyDescent="0.3">
      <c r="A9" s="291" t="s">
        <v>389</v>
      </c>
      <c r="B9" s="422" t="s">
        <v>399</v>
      </c>
      <c r="C9" s="423"/>
      <c r="D9" s="423"/>
      <c r="E9" s="423"/>
      <c r="F9" s="423"/>
      <c r="G9" s="423"/>
      <c r="H9" s="424"/>
      <c r="I9" s="296"/>
      <c r="J9" s="297"/>
      <c r="K9" s="294"/>
    </row>
    <row r="10" spans="1:12" ht="15" customHeight="1" thickBot="1" x14ac:dyDescent="0.3">
      <c r="A10" s="298"/>
      <c r="B10" s="299"/>
      <c r="C10" s="299"/>
      <c r="D10" s="299"/>
      <c r="E10" s="299"/>
      <c r="F10" s="299"/>
      <c r="G10" s="299"/>
      <c r="H10" s="299"/>
      <c r="I10" s="300"/>
      <c r="J10" s="301"/>
      <c r="K10" s="302"/>
      <c r="L10" s="303"/>
    </row>
    <row r="11" spans="1:12" ht="34.5" customHeight="1" x14ac:dyDescent="0.25">
      <c r="A11" s="304" t="s">
        <v>410</v>
      </c>
      <c r="B11" s="305" t="s">
        <v>411</v>
      </c>
      <c r="C11" s="305" t="s">
        <v>412</v>
      </c>
      <c r="D11" s="306" t="s">
        <v>413</v>
      </c>
      <c r="E11" s="304" t="s">
        <v>414</v>
      </c>
      <c r="F11" s="306" t="s">
        <v>413</v>
      </c>
      <c r="G11" s="304" t="s">
        <v>415</v>
      </c>
      <c r="H11" s="306" t="s">
        <v>413</v>
      </c>
      <c r="I11" s="307" t="s">
        <v>416</v>
      </c>
      <c r="J11" s="308" t="s">
        <v>285</v>
      </c>
    </row>
    <row r="12" spans="1:12" ht="17.100000000000001" customHeight="1" x14ac:dyDescent="0.25">
      <c r="A12" s="310" t="str">
        <f>[1]RESUMO!A11</f>
        <v>1.0</v>
      </c>
      <c r="B12" s="311" t="str">
        <f>RESUMO!C13</f>
        <v>ADMINISTRAÇÃO DA OBRA</v>
      </c>
      <c r="C12" s="312">
        <f>RESUMO!I13</f>
        <v>4937.8</v>
      </c>
      <c r="D12" s="313">
        <f>C12/$C$23</f>
        <v>3.5111294441176291E-2</v>
      </c>
      <c r="E12" s="314">
        <f>$C12*F12</f>
        <v>2468.9</v>
      </c>
      <c r="F12" s="315">
        <v>0.5</v>
      </c>
      <c r="G12" s="314">
        <f>$C12*H12</f>
        <v>2468.9</v>
      </c>
      <c r="H12" s="315">
        <v>0.5</v>
      </c>
      <c r="I12" s="316">
        <f>G12+E12</f>
        <v>4937.8</v>
      </c>
      <c r="J12" s="317">
        <f>F12+H12</f>
        <v>1</v>
      </c>
      <c r="L12" s="283" t="b">
        <f>I12=C12</f>
        <v>1</v>
      </c>
    </row>
    <row r="13" spans="1:12" ht="17.100000000000001" customHeight="1" x14ac:dyDescent="0.25">
      <c r="A13" s="310" t="str">
        <f>[1]RESUMO!A12</f>
        <v>2.0</v>
      </c>
      <c r="B13" s="311" t="str">
        <f>[3]RESUMO!C14</f>
        <v>SERVIÇOS PRELIMINARES</v>
      </c>
      <c r="C13" s="312">
        <f>RESUMO!I14</f>
        <v>11571.189999999999</v>
      </c>
      <c r="D13" s="313">
        <f t="shared" ref="D13:D22" si="0">C13/$C$23</f>
        <v>8.2279448160070198E-2</v>
      </c>
      <c r="E13" s="314">
        <f t="shared" ref="E13:E21" si="1">$C13*F13</f>
        <v>5785.5949999999993</v>
      </c>
      <c r="F13" s="315">
        <v>0.5</v>
      </c>
      <c r="G13" s="314">
        <f t="shared" ref="G13:G21" si="2">$C13*H13</f>
        <v>5785.5949999999993</v>
      </c>
      <c r="H13" s="315">
        <v>0.5</v>
      </c>
      <c r="I13" s="316">
        <f t="shared" ref="I13:I21" si="3">G13+E13</f>
        <v>11571.189999999999</v>
      </c>
      <c r="J13" s="317">
        <f t="shared" ref="J13:J20" si="4">F13+H13</f>
        <v>1</v>
      </c>
      <c r="L13" s="283" t="b">
        <f t="shared" ref="L13:L23" si="5">I13=C13</f>
        <v>1</v>
      </c>
    </row>
    <row r="14" spans="1:12" ht="17.100000000000001" customHeight="1" x14ac:dyDescent="0.25">
      <c r="A14" s="310" t="str">
        <f>[1]RESUMO!A13</f>
        <v>3.0</v>
      </c>
      <c r="B14" s="311" t="str">
        <f>[3]RESUMO!C15</f>
        <v>REPARO COBERTURA</v>
      </c>
      <c r="C14" s="312">
        <f>RESUMO!I15</f>
        <v>7950.2599999999993</v>
      </c>
      <c r="D14" s="313">
        <f t="shared" si="0"/>
        <v>5.6532042558205306E-2</v>
      </c>
      <c r="E14" s="314">
        <f t="shared" si="1"/>
        <v>7950.2599999999993</v>
      </c>
      <c r="F14" s="318">
        <v>1</v>
      </c>
      <c r="G14" s="314">
        <f t="shared" si="2"/>
        <v>0</v>
      </c>
      <c r="H14" s="315">
        <v>0</v>
      </c>
      <c r="I14" s="316">
        <f t="shared" si="3"/>
        <v>7950.2599999999993</v>
      </c>
      <c r="J14" s="317">
        <f t="shared" si="4"/>
        <v>1</v>
      </c>
      <c r="L14" s="283" t="b">
        <f t="shared" si="5"/>
        <v>1</v>
      </c>
    </row>
    <row r="15" spans="1:12" ht="17.100000000000001" customHeight="1" x14ac:dyDescent="0.25">
      <c r="A15" s="310" t="str">
        <f>[1]RESUMO!A14</f>
        <v>4.0</v>
      </c>
      <c r="B15" s="311" t="str">
        <f>[3]RESUMO!C16</f>
        <v>ESQUADRIAS - JANELAS.</v>
      </c>
      <c r="C15" s="312">
        <f>RESUMO!I16</f>
        <v>7681.33</v>
      </c>
      <c r="D15" s="313">
        <f t="shared" si="0"/>
        <v>5.4619757651148418E-2</v>
      </c>
      <c r="E15" s="314">
        <f t="shared" si="1"/>
        <v>3840.665</v>
      </c>
      <c r="F15" s="318">
        <v>0.5</v>
      </c>
      <c r="G15" s="314">
        <f t="shared" si="2"/>
        <v>3840.665</v>
      </c>
      <c r="H15" s="318">
        <v>0.5</v>
      </c>
      <c r="I15" s="316">
        <f t="shared" si="3"/>
        <v>7681.33</v>
      </c>
      <c r="J15" s="317">
        <f t="shared" si="4"/>
        <v>1</v>
      </c>
      <c r="L15" s="283" t="b">
        <f t="shared" si="5"/>
        <v>1</v>
      </c>
    </row>
    <row r="16" spans="1:12" ht="17.100000000000001" customHeight="1" x14ac:dyDescent="0.25">
      <c r="A16" s="310" t="str">
        <f>[1]RESUMO!A15</f>
        <v>5.0</v>
      </c>
      <c r="B16" s="311" t="str">
        <f>[3]RESUMO!C17</f>
        <v>ESQUADRIAS METÁLICAS</v>
      </c>
      <c r="C16" s="312">
        <f>RESUMO!I17</f>
        <v>12892.94</v>
      </c>
      <c r="D16" s="313">
        <f t="shared" si="0"/>
        <v>9.1678037294426556E-2</v>
      </c>
      <c r="E16" s="314">
        <f t="shared" si="1"/>
        <v>6446.47</v>
      </c>
      <c r="F16" s="318">
        <v>0.5</v>
      </c>
      <c r="G16" s="314">
        <f t="shared" si="2"/>
        <v>6446.47</v>
      </c>
      <c r="H16" s="318">
        <v>0.5</v>
      </c>
      <c r="I16" s="316">
        <f t="shared" si="3"/>
        <v>12892.94</v>
      </c>
      <c r="J16" s="317">
        <f t="shared" si="4"/>
        <v>1</v>
      </c>
      <c r="L16" s="283" t="b">
        <f t="shared" si="5"/>
        <v>1</v>
      </c>
    </row>
    <row r="17" spans="1:12" ht="17.100000000000001" customHeight="1" x14ac:dyDescent="0.25">
      <c r="A17" s="310" t="str">
        <f>[1]RESUMO!A16</f>
        <v>6.0</v>
      </c>
      <c r="B17" s="311" t="str">
        <f>[3]RESUMO!C18</f>
        <v>LUMINÁRIAS e REFLETORES</v>
      </c>
      <c r="C17" s="312">
        <f>RESUMO!I18</f>
        <v>3835.54</v>
      </c>
      <c r="D17" s="313">
        <f t="shared" si="0"/>
        <v>2.7273436405060816E-2</v>
      </c>
      <c r="E17" s="314">
        <f t="shared" si="1"/>
        <v>3835.54</v>
      </c>
      <c r="F17" s="318">
        <v>1</v>
      </c>
      <c r="G17" s="314">
        <f t="shared" si="2"/>
        <v>0</v>
      </c>
      <c r="H17" s="318">
        <v>0</v>
      </c>
      <c r="I17" s="316">
        <f t="shared" si="3"/>
        <v>3835.54</v>
      </c>
      <c r="J17" s="317">
        <f t="shared" si="4"/>
        <v>1</v>
      </c>
      <c r="L17" s="283" t="b">
        <f t="shared" si="5"/>
        <v>1</v>
      </c>
    </row>
    <row r="18" spans="1:12" ht="17.100000000000001" customHeight="1" x14ac:dyDescent="0.25">
      <c r="A18" s="310" t="str">
        <f>[1]RESUMO!A17</f>
        <v>7.0</v>
      </c>
      <c r="B18" s="311" t="str">
        <f>[3]RESUMO!C19</f>
        <v>INSTLAÇÕES ELÉTRICAS</v>
      </c>
      <c r="C18" s="312">
        <f>RESUMO!I19</f>
        <v>3855.63</v>
      </c>
      <c r="D18" s="313">
        <f t="shared" si="0"/>
        <v>2.7416290693473316E-2</v>
      </c>
      <c r="E18" s="314">
        <f t="shared" si="1"/>
        <v>1927.8150000000001</v>
      </c>
      <c r="F18" s="318">
        <v>0.5</v>
      </c>
      <c r="G18" s="314">
        <f t="shared" si="2"/>
        <v>1927.8150000000001</v>
      </c>
      <c r="H18" s="318">
        <v>0.5</v>
      </c>
      <c r="I18" s="316">
        <f t="shared" si="3"/>
        <v>3855.63</v>
      </c>
      <c r="J18" s="317">
        <f t="shared" si="4"/>
        <v>1</v>
      </c>
      <c r="L18" s="283" t="b">
        <f t="shared" si="5"/>
        <v>1</v>
      </c>
    </row>
    <row r="19" spans="1:12" ht="17.100000000000001" customHeight="1" x14ac:dyDescent="0.25">
      <c r="A19" s="310" t="str">
        <f>[1]RESUMO!A18</f>
        <v>8.0</v>
      </c>
      <c r="B19" s="311" t="str">
        <f>[3]RESUMO!C20</f>
        <v>SPDA</v>
      </c>
      <c r="C19" s="312">
        <f>RESUMO!I20</f>
        <v>32639.08</v>
      </c>
      <c r="D19" s="313">
        <f t="shared" si="0"/>
        <v>0.23208723483517119</v>
      </c>
      <c r="E19" s="314">
        <f t="shared" si="1"/>
        <v>16319.54</v>
      </c>
      <c r="F19" s="318">
        <v>0.5</v>
      </c>
      <c r="G19" s="314">
        <f t="shared" si="2"/>
        <v>16319.54</v>
      </c>
      <c r="H19" s="318">
        <v>0.5</v>
      </c>
      <c r="I19" s="316">
        <f t="shared" si="3"/>
        <v>32639.08</v>
      </c>
      <c r="J19" s="317">
        <f t="shared" si="4"/>
        <v>1</v>
      </c>
      <c r="L19" s="283" t="b">
        <f t="shared" si="5"/>
        <v>1</v>
      </c>
    </row>
    <row r="20" spans="1:12" ht="17.100000000000001" customHeight="1" x14ac:dyDescent="0.25">
      <c r="A20" s="310" t="str">
        <f>[1]RESUMO!A19</f>
        <v>9.0</v>
      </c>
      <c r="B20" s="311" t="str">
        <f>[3]RESUMO!C21</f>
        <v>SERVIÇOS ESPECIAIAS</v>
      </c>
      <c r="C20" s="312">
        <f>RESUMO!I21</f>
        <v>4033.26</v>
      </c>
      <c r="D20" s="313">
        <f t="shared" si="0"/>
        <v>2.8679367211677E-2</v>
      </c>
      <c r="E20" s="314">
        <f t="shared" si="1"/>
        <v>806.65200000000004</v>
      </c>
      <c r="F20" s="318">
        <v>0.2</v>
      </c>
      <c r="G20" s="314">
        <f t="shared" si="2"/>
        <v>3226.6080000000002</v>
      </c>
      <c r="H20" s="318">
        <v>0.8</v>
      </c>
      <c r="I20" s="316">
        <f t="shared" si="3"/>
        <v>4033.26</v>
      </c>
      <c r="J20" s="317">
        <f t="shared" si="4"/>
        <v>1</v>
      </c>
      <c r="L20" s="283" t="b">
        <f t="shared" si="5"/>
        <v>1</v>
      </c>
    </row>
    <row r="21" spans="1:12" ht="17.100000000000001" customHeight="1" x14ac:dyDescent="0.25">
      <c r="A21" s="310" t="str">
        <f>[1]RESUMO!A20</f>
        <v>10.0</v>
      </c>
      <c r="B21" s="311" t="str">
        <f>[3]RESUMO!C22</f>
        <v>SERVIÇOS FINAIS</v>
      </c>
      <c r="C21" s="312">
        <f>RESUMO!I22</f>
        <v>48921.48</v>
      </c>
      <c r="D21" s="313">
        <f t="shared" si="0"/>
        <v>0.34786676025317287</v>
      </c>
      <c r="E21" s="314">
        <f t="shared" si="1"/>
        <v>0</v>
      </c>
      <c r="F21" s="318">
        <v>0</v>
      </c>
      <c r="G21" s="314">
        <f t="shared" si="2"/>
        <v>48921.48</v>
      </c>
      <c r="H21" s="318">
        <v>1</v>
      </c>
      <c r="I21" s="316">
        <f t="shared" si="3"/>
        <v>48921.48</v>
      </c>
      <c r="J21" s="317">
        <f>F21+H21</f>
        <v>1</v>
      </c>
      <c r="L21" s="283" t="b">
        <f t="shared" si="5"/>
        <v>1</v>
      </c>
    </row>
    <row r="22" spans="1:12" ht="17.100000000000001" customHeight="1" x14ac:dyDescent="0.25">
      <c r="A22" s="310" t="str">
        <f>RESUMO!B23</f>
        <v>11.0</v>
      </c>
      <c r="B22" s="311" t="str">
        <f>RESUMO!C23</f>
        <v>SERVIÇOS FINAIS</v>
      </c>
      <c r="C22" s="312">
        <f>RESUMO!I23</f>
        <v>2314.3000000000002</v>
      </c>
      <c r="D22" s="313">
        <f t="shared" si="0"/>
        <v>1.64563304964183E-2</v>
      </c>
      <c r="E22" s="314">
        <f t="shared" ref="E22" si="6">$C22*F22</f>
        <v>0</v>
      </c>
      <c r="F22" s="318">
        <v>0</v>
      </c>
      <c r="G22" s="314">
        <f t="shared" ref="G22" si="7">$C22*H22</f>
        <v>2314.3000000000002</v>
      </c>
      <c r="H22" s="318">
        <v>1</v>
      </c>
      <c r="I22" s="316">
        <f t="shared" ref="I22" si="8">G22+E22</f>
        <v>2314.3000000000002</v>
      </c>
      <c r="J22" s="317">
        <f>F22+H22</f>
        <v>1</v>
      </c>
    </row>
    <row r="23" spans="1:12" ht="19.7" customHeight="1" x14ac:dyDescent="0.25">
      <c r="A23" s="319" t="s">
        <v>417</v>
      </c>
      <c r="B23" s="320"/>
      <c r="C23" s="312">
        <f>SUM(C12:C22)</f>
        <v>140632.80999999997</v>
      </c>
      <c r="D23" s="313">
        <f>SUM(D12:D22)</f>
        <v>1.0000000000000002</v>
      </c>
      <c r="E23" s="321">
        <f>SUM(E12:E22)</f>
        <v>49381.437000000005</v>
      </c>
      <c r="F23" s="322">
        <f>E23/C23</f>
        <v>0.35113738394333455</v>
      </c>
      <c r="G23" s="321">
        <f>SUM(G12:G22)</f>
        <v>91251.373000000007</v>
      </c>
      <c r="H23" s="322">
        <f>G23/C23</f>
        <v>0.64886261605666573</v>
      </c>
      <c r="I23" s="323">
        <f>SUM(I12:I22)</f>
        <v>140632.80999999997</v>
      </c>
      <c r="J23" s="324">
        <f>F23+H23</f>
        <v>1.0000000000000002</v>
      </c>
      <c r="L23" s="283" t="b">
        <f t="shared" si="5"/>
        <v>1</v>
      </c>
    </row>
    <row r="24" spans="1:12" ht="19.7" customHeight="1" thickBot="1" x14ac:dyDescent="0.3">
      <c r="A24" s="325" t="s">
        <v>418</v>
      </c>
      <c r="B24" s="326"/>
      <c r="C24" s="327"/>
      <c r="D24" s="328"/>
      <c r="E24" s="329">
        <f>E23</f>
        <v>49381.437000000005</v>
      </c>
      <c r="F24" s="330">
        <f>F23</f>
        <v>0.35113738394333455</v>
      </c>
      <c r="G24" s="329">
        <f>G23+E24</f>
        <v>140632.81</v>
      </c>
      <c r="H24" s="330">
        <f t="shared" ref="H24" si="9">H23+F24</f>
        <v>1.0000000000000002</v>
      </c>
      <c r="I24" s="331"/>
      <c r="J24" s="332"/>
    </row>
    <row r="25" spans="1:12" ht="19.7" customHeight="1" x14ac:dyDescent="0.25">
      <c r="A25" s="333"/>
      <c r="B25" s="333"/>
      <c r="C25" s="333"/>
      <c r="D25" s="333"/>
    </row>
  </sheetData>
  <mergeCells count="13">
    <mergeCell ref="A25:D25"/>
    <mergeCell ref="B9:H9"/>
    <mergeCell ref="B6:H6"/>
    <mergeCell ref="B7:H7"/>
    <mergeCell ref="B8:H8"/>
    <mergeCell ref="A1:J5"/>
    <mergeCell ref="J6:J7"/>
    <mergeCell ref="J8:J9"/>
    <mergeCell ref="A10:J10"/>
    <mergeCell ref="A23:B23"/>
    <mergeCell ref="I23:I24"/>
    <mergeCell ref="J23:J24"/>
    <mergeCell ref="A24:B24"/>
  </mergeCells>
  <pageMargins left="0.78740157480314965" right="0.39370078740157483" top="0.78740157480314965" bottom="0.98425196850393704" header="0.78740157480314965" footer="0.31496062992125984"/>
  <pageSetup paperSize="9" scale="73" orientation="landscape" r:id="rId1"/>
  <headerFooter>
    <oddFooter>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BreakPreview" zoomScaleNormal="100" zoomScaleSheetLayoutView="100" workbookViewId="0">
      <selection activeCell="A27" sqref="A27:G27"/>
    </sheetView>
  </sheetViews>
  <sheetFormatPr defaultColWidth="9.140625" defaultRowHeight="12.75" x14ac:dyDescent="0.2"/>
  <cols>
    <col min="1" max="1" width="10.28515625" style="337" customWidth="1"/>
    <col min="2" max="2" width="10.42578125" style="337" customWidth="1"/>
    <col min="3" max="3" width="52.85546875" style="337" customWidth="1"/>
    <col min="4" max="4" width="9.28515625" style="337" customWidth="1"/>
    <col min="5" max="5" width="17.28515625" style="337" customWidth="1"/>
    <col min="6" max="6" width="10.5703125" style="337" customWidth="1"/>
    <col min="7" max="7" width="18" style="337" bestFit="1" customWidth="1"/>
    <col min="8" max="8" width="15.42578125" style="337" customWidth="1"/>
    <col min="9" max="10" width="9.140625" style="337"/>
    <col min="11" max="11" width="15.7109375" style="337" bestFit="1" customWidth="1"/>
    <col min="12" max="16384" width="9.140625" style="337"/>
  </cols>
  <sheetData>
    <row r="1" spans="1:11" ht="15" customHeight="1" x14ac:dyDescent="0.2">
      <c r="A1" s="334" t="s">
        <v>419</v>
      </c>
      <c r="B1" s="335"/>
      <c r="C1" s="335"/>
      <c r="D1" s="335"/>
      <c r="E1" s="335"/>
      <c r="F1" s="335"/>
      <c r="G1" s="336"/>
    </row>
    <row r="2" spans="1:11" ht="15" customHeight="1" x14ac:dyDescent="0.2">
      <c r="A2" s="338"/>
      <c r="B2" s="339"/>
      <c r="C2" s="339"/>
      <c r="D2" s="339"/>
      <c r="E2" s="339"/>
      <c r="F2" s="339"/>
      <c r="G2" s="340"/>
    </row>
    <row r="3" spans="1:11" ht="15" customHeight="1" x14ac:dyDescent="0.2">
      <c r="A3" s="338"/>
      <c r="B3" s="339"/>
      <c r="C3" s="339"/>
      <c r="D3" s="339"/>
      <c r="E3" s="339"/>
      <c r="F3" s="339"/>
      <c r="G3" s="340"/>
    </row>
    <row r="4" spans="1:11" ht="15" customHeight="1" x14ac:dyDescent="0.2">
      <c r="A4" s="338"/>
      <c r="B4" s="339"/>
      <c r="C4" s="339"/>
      <c r="D4" s="339"/>
      <c r="E4" s="339"/>
      <c r="F4" s="339"/>
      <c r="G4" s="340"/>
    </row>
    <row r="5" spans="1:11" ht="15" customHeight="1" x14ac:dyDescent="0.2">
      <c r="A5" s="338"/>
      <c r="B5" s="339"/>
      <c r="C5" s="339"/>
      <c r="D5" s="339"/>
      <c r="E5" s="339"/>
      <c r="F5" s="339"/>
      <c r="G5" s="340"/>
    </row>
    <row r="6" spans="1:11" ht="15" customHeight="1" x14ac:dyDescent="0.2">
      <c r="A6" s="291" t="s">
        <v>382</v>
      </c>
      <c r="B6" s="207" t="str">
        <f>RESUMO!C7</f>
        <v>REFORMA e ADEQUAÇÃO</v>
      </c>
      <c r="C6" s="207"/>
      <c r="D6" s="207"/>
      <c r="E6" s="207"/>
      <c r="F6" s="195" t="s">
        <v>384</v>
      </c>
      <c r="G6" s="341" t="str">
        <f>RESUMO!I7</f>
        <v>SINAPI-MT
DES_JAN/2022</v>
      </c>
    </row>
    <row r="7" spans="1:11" ht="15" customHeight="1" x14ac:dyDescent="0.2">
      <c r="A7" s="291" t="s">
        <v>386</v>
      </c>
      <c r="B7" s="207" t="str">
        <f>RESUMO!C8</f>
        <v>BR-364, Zona Rural do Município de Campo Novo do Parecis-MT</v>
      </c>
      <c r="C7" s="207"/>
      <c r="D7" s="207"/>
      <c r="E7" s="207"/>
      <c r="F7" s="195"/>
      <c r="G7" s="341"/>
    </row>
    <row r="8" spans="1:11" ht="15" customHeight="1" x14ac:dyDescent="0.2">
      <c r="A8" s="291" t="s">
        <v>387</v>
      </c>
      <c r="B8" s="207" t="str">
        <f>RESUMO!C9</f>
        <v>CAMPO NOVO DO PARECIS-MTMT</v>
      </c>
      <c r="C8" s="207"/>
      <c r="D8" s="207"/>
      <c r="E8" s="207"/>
      <c r="F8" s="195" t="s">
        <v>388</v>
      </c>
      <c r="G8" s="342">
        <f>RESUMO!I9</f>
        <v>0.28349999999999997</v>
      </c>
    </row>
    <row r="9" spans="1:11" ht="15" customHeight="1" x14ac:dyDescent="0.2">
      <c r="A9" s="291" t="s">
        <v>389</v>
      </c>
      <c r="B9" s="207" t="str">
        <f>RESUMO!C10</f>
        <v>Reforma e Adequação do CT de CNP-MT</v>
      </c>
      <c r="C9" s="207"/>
      <c r="D9" s="207"/>
      <c r="E9" s="207"/>
      <c r="F9" s="195"/>
      <c r="G9" s="342"/>
    </row>
    <row r="10" spans="1:11" ht="30.75" thickBot="1" x14ac:dyDescent="0.3">
      <c r="A10" s="343" t="s">
        <v>410</v>
      </c>
      <c r="B10" s="344" t="s">
        <v>420</v>
      </c>
      <c r="C10" s="345"/>
      <c r="D10" s="345"/>
      <c r="E10" s="345"/>
      <c r="F10" s="346"/>
      <c r="G10" s="347" t="s">
        <v>421</v>
      </c>
    </row>
    <row r="11" spans="1:11" ht="15.75" thickBot="1" x14ac:dyDescent="0.25">
      <c r="A11" s="348" t="s">
        <v>124</v>
      </c>
      <c r="B11" s="349" t="s">
        <v>55</v>
      </c>
      <c r="C11" s="350"/>
      <c r="D11" s="350"/>
      <c r="E11" s="350"/>
      <c r="F11" s="351"/>
      <c r="G11" s="352">
        <f>G12+G13+G14+G15</f>
        <v>7.3</v>
      </c>
      <c r="I11" s="353" t="s">
        <v>422</v>
      </c>
      <c r="J11" s="353" t="s">
        <v>423</v>
      </c>
    </row>
    <row r="12" spans="1:11" ht="13.5" thickBot="1" x14ac:dyDescent="0.25">
      <c r="A12" s="354" t="s">
        <v>62</v>
      </c>
      <c r="B12" s="355" t="s">
        <v>424</v>
      </c>
      <c r="C12" s="356"/>
      <c r="D12" s="356"/>
      <c r="E12" s="356"/>
      <c r="F12" s="357"/>
      <c r="G12" s="358">
        <v>4</v>
      </c>
      <c r="I12" s="359">
        <v>5.5</v>
      </c>
      <c r="J12" s="360">
        <v>3</v>
      </c>
      <c r="K12" s="337">
        <f>G12/100</f>
        <v>0.04</v>
      </c>
    </row>
    <row r="13" spans="1:11" ht="13.5" thickBot="1" x14ac:dyDescent="0.25">
      <c r="A13" s="361" t="s">
        <v>63</v>
      </c>
      <c r="B13" s="362" t="s">
        <v>425</v>
      </c>
      <c r="C13" s="363"/>
      <c r="D13" s="363"/>
      <c r="E13" s="363"/>
      <c r="F13" s="364"/>
      <c r="G13" s="365">
        <v>1.23</v>
      </c>
      <c r="I13" s="359">
        <v>1.39</v>
      </c>
      <c r="J13" s="360">
        <v>0.59</v>
      </c>
      <c r="K13" s="337">
        <f>G13/100</f>
        <v>1.23E-2</v>
      </c>
    </row>
    <row r="14" spans="1:11" ht="13.5" thickBot="1" x14ac:dyDescent="0.25">
      <c r="A14" s="366" t="s">
        <v>426</v>
      </c>
      <c r="B14" s="362" t="s">
        <v>427</v>
      </c>
      <c r="C14" s="363"/>
      <c r="D14" s="363"/>
      <c r="E14" s="363"/>
      <c r="F14" s="364"/>
      <c r="G14" s="365">
        <v>1.27</v>
      </c>
      <c r="I14" s="359">
        <v>1.27</v>
      </c>
      <c r="J14" s="360">
        <v>0.97</v>
      </c>
      <c r="K14" s="337">
        <f>G14/100</f>
        <v>1.2699999999999999E-2</v>
      </c>
    </row>
    <row r="15" spans="1:11" ht="13.5" thickBot="1" x14ac:dyDescent="0.25">
      <c r="A15" s="366" t="s">
        <v>428</v>
      </c>
      <c r="B15" s="367" t="s">
        <v>429</v>
      </c>
      <c r="C15" s="368"/>
      <c r="D15" s="368"/>
      <c r="E15" s="368"/>
      <c r="F15" s="369"/>
      <c r="G15" s="370">
        <v>0.8</v>
      </c>
      <c r="I15" s="371">
        <v>1</v>
      </c>
      <c r="J15" s="372">
        <v>0.8</v>
      </c>
      <c r="K15" s="337">
        <f>G15/100</f>
        <v>8.0000000000000002E-3</v>
      </c>
    </row>
    <row r="16" spans="1:11" ht="13.5" thickBot="1" x14ac:dyDescent="0.25">
      <c r="A16" s="348" t="s">
        <v>119</v>
      </c>
      <c r="B16" s="349" t="s">
        <v>430</v>
      </c>
      <c r="C16" s="373"/>
      <c r="D16" s="374"/>
      <c r="E16" s="374"/>
      <c r="F16" s="375"/>
      <c r="G16" s="352">
        <f>G17</f>
        <v>7.4</v>
      </c>
    </row>
    <row r="17" spans="1:11" ht="13.5" thickBot="1" x14ac:dyDescent="0.25">
      <c r="A17" s="376" t="s">
        <v>64</v>
      </c>
      <c r="B17" s="377" t="s">
        <v>431</v>
      </c>
      <c r="C17" s="378"/>
      <c r="D17" s="378"/>
      <c r="E17" s="378"/>
      <c r="F17" s="379"/>
      <c r="G17" s="380">
        <v>7.4</v>
      </c>
      <c r="I17" s="359">
        <v>8.9600000000000009</v>
      </c>
      <c r="J17" s="360">
        <v>6.16</v>
      </c>
      <c r="K17" s="337">
        <f>G17/100</f>
        <v>7.400000000000001E-2</v>
      </c>
    </row>
    <row r="18" spans="1:11" ht="13.5" thickBot="1" x14ac:dyDescent="0.25">
      <c r="A18" s="348" t="s">
        <v>95</v>
      </c>
      <c r="B18" s="349" t="s">
        <v>432</v>
      </c>
      <c r="C18" s="373"/>
      <c r="D18" s="374"/>
      <c r="E18" s="374"/>
      <c r="F18" s="375"/>
      <c r="G18" s="352">
        <f>G19+G20+G21+G22</f>
        <v>10.15</v>
      </c>
      <c r="I18" s="381"/>
      <c r="J18" s="381"/>
      <c r="K18" s="337">
        <f>SUM(K19:K22)</f>
        <v>0.10150000000000001</v>
      </c>
    </row>
    <row r="19" spans="1:11" x14ac:dyDescent="0.2">
      <c r="A19" s="382" t="s">
        <v>65</v>
      </c>
      <c r="B19" s="355" t="s">
        <v>433</v>
      </c>
      <c r="C19" s="383"/>
      <c r="D19" s="356"/>
      <c r="E19" s="356"/>
      <c r="F19" s="357"/>
      <c r="G19" s="384">
        <v>2</v>
      </c>
      <c r="I19" s="381"/>
      <c r="J19" s="381"/>
      <c r="K19" s="337">
        <f>G19/100</f>
        <v>0.02</v>
      </c>
    </row>
    <row r="20" spans="1:11" x14ac:dyDescent="0.2">
      <c r="A20" s="385" t="s">
        <v>61</v>
      </c>
      <c r="B20" s="362" t="s">
        <v>434</v>
      </c>
      <c r="C20" s="386"/>
      <c r="D20" s="363"/>
      <c r="E20" s="363"/>
      <c r="F20" s="364"/>
      <c r="G20" s="387">
        <v>3</v>
      </c>
      <c r="I20" s="381"/>
      <c r="J20" s="381"/>
      <c r="K20" s="337">
        <f>G20/100</f>
        <v>0.03</v>
      </c>
    </row>
    <row r="21" spans="1:11" x14ac:dyDescent="0.2">
      <c r="A21" s="388" t="s">
        <v>66</v>
      </c>
      <c r="B21" s="362" t="s">
        <v>435</v>
      </c>
      <c r="C21" s="363"/>
      <c r="D21" s="363"/>
      <c r="E21" s="363"/>
      <c r="F21" s="364"/>
      <c r="G21" s="389">
        <v>0.65</v>
      </c>
      <c r="I21" s="381"/>
      <c r="J21" s="381"/>
      <c r="K21" s="337">
        <f>G21/100</f>
        <v>6.5000000000000006E-3</v>
      </c>
    </row>
    <row r="22" spans="1:11" x14ac:dyDescent="0.2">
      <c r="A22" s="385" t="s">
        <v>67</v>
      </c>
      <c r="B22" s="362" t="s">
        <v>436</v>
      </c>
      <c r="C22" s="386"/>
      <c r="D22" s="363"/>
      <c r="E22" s="363"/>
      <c r="F22" s="364"/>
      <c r="G22" s="387">
        <v>4.5</v>
      </c>
      <c r="I22" s="381"/>
      <c r="J22" s="381"/>
      <c r="K22" s="337">
        <f>G22/100</f>
        <v>4.4999999999999998E-2</v>
      </c>
    </row>
    <row r="23" spans="1:11" ht="13.5" thickBot="1" x14ac:dyDescent="0.25">
      <c r="A23" s="390" t="s">
        <v>437</v>
      </c>
      <c r="B23" s="391"/>
      <c r="C23" s="391"/>
      <c r="D23" s="391"/>
      <c r="E23" s="391"/>
      <c r="F23" s="391"/>
      <c r="G23" s="392"/>
      <c r="I23" s="381"/>
      <c r="J23" s="381"/>
    </row>
    <row r="24" spans="1:11" ht="26.25" thickBot="1" x14ac:dyDescent="0.4">
      <c r="A24" s="393" t="s">
        <v>438</v>
      </c>
      <c r="B24" s="394"/>
      <c r="C24" s="394"/>
      <c r="D24" s="394"/>
      <c r="E24" s="394"/>
      <c r="F24" s="394"/>
      <c r="G24" s="395"/>
      <c r="I24" s="381"/>
      <c r="J24" s="381"/>
      <c r="K24" s="396">
        <f>(((1+$K$12+$K$15+$K$14)*(1+$K$13)*(1+$K$17)/(1-K18))-1)*100</f>
        <v>28.347674918197008</v>
      </c>
    </row>
    <row r="25" spans="1:11" ht="30.75" customHeight="1" thickBot="1" x14ac:dyDescent="0.25">
      <c r="A25" s="397" t="s">
        <v>439</v>
      </c>
      <c r="B25" s="398"/>
      <c r="C25" s="398"/>
      <c r="D25" s="398"/>
      <c r="E25" s="398"/>
      <c r="F25" s="399"/>
      <c r="G25" s="400">
        <f>(((1+$K$12+$K$15+$K$14)*(1+$K$13)*(1+$K$17)/(1-K18))-1)*100</f>
        <v>28.347674918197008</v>
      </c>
      <c r="I25" s="381"/>
      <c r="J25" s="381"/>
    </row>
    <row r="26" spans="1:11" ht="16.5" thickBot="1" x14ac:dyDescent="0.3">
      <c r="A26" s="401" t="s">
        <v>440</v>
      </c>
      <c r="B26" s="402"/>
      <c r="C26" s="402"/>
      <c r="D26" s="402"/>
      <c r="E26" s="402"/>
      <c r="F26" s="403"/>
      <c r="G26" s="404">
        <f>RESUMO!H25</f>
        <v>140632.80999999997</v>
      </c>
      <c r="I26" s="405"/>
      <c r="J26" s="405"/>
    </row>
    <row r="27" spans="1:11" ht="13.5" thickBot="1" x14ac:dyDescent="0.25">
      <c r="A27" s="406" t="s">
        <v>441</v>
      </c>
      <c r="B27" s="407"/>
      <c r="C27" s="407"/>
      <c r="D27" s="407"/>
      <c r="E27" s="407"/>
      <c r="F27" s="407"/>
      <c r="G27" s="408"/>
    </row>
    <row r="28" spans="1:11" ht="16.5" thickBot="1" x14ac:dyDescent="0.25">
      <c r="A28" s="409" t="s">
        <v>442</v>
      </c>
      <c r="B28" s="410"/>
      <c r="C28" s="410"/>
      <c r="D28" s="410"/>
      <c r="E28" s="410"/>
      <c r="F28" s="410"/>
      <c r="G28" s="411"/>
    </row>
    <row r="29" spans="1:11" x14ac:dyDescent="0.2">
      <c r="A29" s="412"/>
      <c r="B29" s="413"/>
      <c r="C29" s="413"/>
      <c r="D29" s="413"/>
      <c r="E29" s="413"/>
      <c r="F29" s="413"/>
      <c r="G29" s="414"/>
    </row>
    <row r="30" spans="1:11" ht="18.75" x14ac:dyDescent="0.25">
      <c r="A30" s="415"/>
      <c r="B30" s="416"/>
      <c r="C30" s="416"/>
      <c r="D30" s="416"/>
      <c r="E30" s="416"/>
      <c r="F30" s="416"/>
      <c r="G30" s="417"/>
      <c r="H30" s="418"/>
    </row>
    <row r="31" spans="1:11" ht="18.75" x14ac:dyDescent="0.25">
      <c r="A31" s="415"/>
      <c r="B31" s="416"/>
      <c r="C31" s="416"/>
      <c r="D31" s="416"/>
      <c r="E31" s="416"/>
      <c r="F31" s="416"/>
      <c r="G31" s="417"/>
      <c r="H31" s="418"/>
    </row>
    <row r="32" spans="1:11" ht="13.5" thickBot="1" x14ac:dyDescent="0.25">
      <c r="A32" s="419"/>
      <c r="B32" s="420"/>
      <c r="C32" s="420"/>
      <c r="D32" s="420"/>
      <c r="E32" s="420"/>
      <c r="F32" s="420"/>
      <c r="G32" s="421"/>
    </row>
  </sheetData>
  <mergeCells count="27">
    <mergeCell ref="A28:G28"/>
    <mergeCell ref="A29:G32"/>
    <mergeCell ref="B22:F22"/>
    <mergeCell ref="A23:G23"/>
    <mergeCell ref="A24:G24"/>
    <mergeCell ref="A25:F25"/>
    <mergeCell ref="A26:F26"/>
    <mergeCell ref="A27:G27"/>
    <mergeCell ref="B16:F16"/>
    <mergeCell ref="B17:F17"/>
    <mergeCell ref="B18:F18"/>
    <mergeCell ref="B19:F19"/>
    <mergeCell ref="B20:F20"/>
    <mergeCell ref="B21:F21"/>
    <mergeCell ref="B10:F10"/>
    <mergeCell ref="B11:F11"/>
    <mergeCell ref="B12:F12"/>
    <mergeCell ref="B13:F13"/>
    <mergeCell ref="B14:F14"/>
    <mergeCell ref="B15:F15"/>
    <mergeCell ref="A1:G5"/>
    <mergeCell ref="B6:E6"/>
    <mergeCell ref="G6:G7"/>
    <mergeCell ref="B7:E7"/>
    <mergeCell ref="B8:E8"/>
    <mergeCell ref="G8:G9"/>
    <mergeCell ref="B9:E9"/>
  </mergeCells>
  <pageMargins left="0.78740157480314965" right="0.39370078740157483" top="0.78740157480314965" bottom="0.98425196850393704" header="0.78740157480314965" footer="0.31496062992125984"/>
  <pageSetup paperSize="9" scale="67" orientation="portrait" r:id="rId1"/>
  <headerFooter>
    <oddFooter>&amp;RPágina &amp;P de &amp;N</oddFooter>
  </headerFooter>
  <colBreaks count="1" manualBreakCount="1">
    <brk id="7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8"/>
  <sheetViews>
    <sheetView workbookViewId="0">
      <selection activeCell="E16" sqref="E15:E16"/>
    </sheetView>
  </sheetViews>
  <sheetFormatPr defaultRowHeight="15" x14ac:dyDescent="0.25"/>
  <cols>
    <col min="2" max="2" width="11.7109375" customWidth="1"/>
    <col min="3" max="3" width="20.28515625" customWidth="1"/>
    <col min="4" max="4" width="12.5703125" customWidth="1"/>
    <col min="5" max="5" width="34" bestFit="1" customWidth="1"/>
    <col min="6" max="6" width="21" customWidth="1"/>
    <col min="7" max="7" width="13.140625" customWidth="1"/>
  </cols>
  <sheetData>
    <row r="3" spans="2:7" ht="42.75" customHeight="1" x14ac:dyDescent="0.25">
      <c r="B3" s="172" t="s">
        <v>281</v>
      </c>
      <c r="C3" s="172" t="s">
        <v>282</v>
      </c>
      <c r="D3" s="172" t="s">
        <v>283</v>
      </c>
      <c r="E3" s="172" t="s">
        <v>261</v>
      </c>
      <c r="F3" s="172" t="s">
        <v>284</v>
      </c>
      <c r="G3" s="172" t="s">
        <v>285</v>
      </c>
    </row>
    <row r="4" spans="2:7" ht="34.5" customHeight="1" x14ac:dyDescent="0.25">
      <c r="B4" s="172">
        <v>1</v>
      </c>
      <c r="C4" s="172" t="s">
        <v>286</v>
      </c>
      <c r="D4" s="173">
        <v>6664.22</v>
      </c>
      <c r="E4" s="172" t="s">
        <v>291</v>
      </c>
      <c r="F4" s="172" t="s">
        <v>295</v>
      </c>
      <c r="G4" s="172">
        <f>ROUNDUP(Tabela1[[#This Row],[ ÁREA]]/300,0)</f>
        <v>23</v>
      </c>
    </row>
    <row r="5" spans="2:7" ht="34.5" customHeight="1" x14ac:dyDescent="0.25">
      <c r="B5" s="172">
        <v>2</v>
      </c>
      <c r="C5" s="172" t="s">
        <v>287</v>
      </c>
      <c r="D5" s="173">
        <v>7997.07</v>
      </c>
      <c r="E5" s="172" t="s">
        <v>291</v>
      </c>
      <c r="F5" s="172" t="s">
        <v>295</v>
      </c>
      <c r="G5" s="172">
        <f>ROUNDUP(Tabela1[[#This Row],[ ÁREA]]/300,0)</f>
        <v>27</v>
      </c>
    </row>
    <row r="6" spans="2:7" ht="34.5" customHeight="1" x14ac:dyDescent="0.25">
      <c r="B6" s="172">
        <v>3</v>
      </c>
      <c r="C6" s="172" t="s">
        <v>288</v>
      </c>
      <c r="D6" s="172">
        <v>666.42</v>
      </c>
      <c r="E6" s="172" t="s">
        <v>292</v>
      </c>
      <c r="F6" s="172" t="s">
        <v>296</v>
      </c>
      <c r="G6" s="172">
        <f>ROUNDUP(Tabela1[[#This Row],[ ÁREA]]/80,0)</f>
        <v>9</v>
      </c>
    </row>
    <row r="7" spans="2:7" ht="34.5" customHeight="1" x14ac:dyDescent="0.25">
      <c r="B7" s="172">
        <v>4</v>
      </c>
      <c r="C7" s="172" t="s">
        <v>289</v>
      </c>
      <c r="D7" s="173">
        <v>2646.39</v>
      </c>
      <c r="E7" s="172" t="s">
        <v>293</v>
      </c>
      <c r="F7" s="172" t="s">
        <v>297</v>
      </c>
      <c r="G7" s="172">
        <f>ROUNDUP(Tabela1[[#This Row],[ ÁREA]]/350,0)</f>
        <v>8</v>
      </c>
    </row>
    <row r="8" spans="2:7" ht="34.5" customHeight="1" x14ac:dyDescent="0.25">
      <c r="B8" s="172">
        <v>5</v>
      </c>
      <c r="C8" s="172" t="s">
        <v>290</v>
      </c>
      <c r="D8" s="173">
        <v>1514.79</v>
      </c>
      <c r="E8" s="172" t="s">
        <v>294</v>
      </c>
      <c r="F8" s="172" t="s">
        <v>298</v>
      </c>
      <c r="G8" s="172">
        <f>ROUNDUP(Tabela1[[#This Row],[ ÁREA]]/70,0)</f>
        <v>22</v>
      </c>
    </row>
  </sheetData>
  <pageMargins left="0.511811024" right="0.511811024" top="0.78740157499999996" bottom="0.78740157499999996" header="0.31496062000000002" footer="0.31496062000000002"/>
  <pageSetup paperSize="9" scale="75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view="pageBreakPreview" zoomScale="60" zoomScaleNormal="100" workbookViewId="0">
      <selection activeCell="B1" sqref="B1:L1"/>
    </sheetView>
  </sheetViews>
  <sheetFormatPr defaultRowHeight="14.25" x14ac:dyDescent="0.25"/>
  <cols>
    <col min="1" max="2" width="9.140625" style="178"/>
    <col min="3" max="3" width="67.42578125" style="178" bestFit="1" customWidth="1"/>
    <col min="4" max="4" width="9.140625" style="178" hidden="1" customWidth="1"/>
    <col min="5" max="5" width="12.7109375" style="178" hidden="1" customWidth="1"/>
    <col min="6" max="7" width="12.7109375" style="178" customWidth="1"/>
    <col min="8" max="8" width="9.140625" style="178"/>
    <col min="9" max="9" width="66.28515625" style="178" customWidth="1"/>
    <col min="10" max="11" width="12.7109375" style="178" hidden="1" customWidth="1"/>
    <col min="12" max="12" width="14.140625" style="178" bestFit="1" customWidth="1"/>
    <col min="13" max="16384" width="9.140625" style="178"/>
  </cols>
  <sheetData>
    <row r="1" spans="2:12" ht="76.5" customHeight="1" x14ac:dyDescent="0.25">
      <c r="B1" s="262" t="s">
        <v>380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2:12" ht="22.5" customHeight="1" x14ac:dyDescent="0.25">
      <c r="B2" s="267" t="s">
        <v>379</v>
      </c>
      <c r="C2" s="268"/>
      <c r="D2" s="268"/>
      <c r="E2" s="268"/>
      <c r="F2" s="268"/>
      <c r="H2" s="267" t="s">
        <v>378</v>
      </c>
      <c r="I2" s="268"/>
      <c r="J2" s="268"/>
      <c r="K2" s="268"/>
      <c r="L2" s="268"/>
    </row>
    <row r="3" spans="2:12" ht="30.75" customHeight="1" x14ac:dyDescent="0.25">
      <c r="B3" s="102" t="s">
        <v>376</v>
      </c>
      <c r="C3" s="267" t="s">
        <v>377</v>
      </c>
      <c r="D3" s="267"/>
      <c r="E3" s="267"/>
      <c r="F3" s="267"/>
      <c r="H3" s="102" t="s">
        <v>376</v>
      </c>
      <c r="I3" s="267" t="s">
        <v>375</v>
      </c>
      <c r="J3" s="267"/>
      <c r="K3" s="267"/>
      <c r="L3" s="267"/>
    </row>
    <row r="4" spans="2:12" x14ac:dyDescent="0.25">
      <c r="B4" s="263"/>
      <c r="C4" s="264"/>
      <c r="D4" s="264"/>
      <c r="E4" s="264"/>
      <c r="F4" s="265"/>
      <c r="H4" s="266"/>
      <c r="I4" s="266"/>
      <c r="J4" s="266"/>
      <c r="K4" s="266"/>
      <c r="L4" s="266"/>
    </row>
    <row r="5" spans="2:12" ht="27" customHeight="1" x14ac:dyDescent="0.25">
      <c r="B5" s="174" t="s">
        <v>2</v>
      </c>
      <c r="C5" s="174" t="s">
        <v>374</v>
      </c>
      <c r="D5" s="179" t="s">
        <v>373</v>
      </c>
      <c r="E5" s="174" t="s">
        <v>372</v>
      </c>
      <c r="F5" s="174" t="s">
        <v>371</v>
      </c>
      <c r="G5" s="182"/>
      <c r="H5" s="174" t="s">
        <v>2</v>
      </c>
      <c r="I5" s="174" t="s">
        <v>374</v>
      </c>
      <c r="J5" s="179" t="s">
        <v>373</v>
      </c>
      <c r="K5" s="174" t="s">
        <v>372</v>
      </c>
      <c r="L5" s="174" t="s">
        <v>371</v>
      </c>
    </row>
    <row r="6" spans="2:12" ht="31.5" customHeight="1" x14ac:dyDescent="0.25">
      <c r="B6" s="179">
        <v>1</v>
      </c>
      <c r="C6" s="180" t="s">
        <v>370</v>
      </c>
      <c r="D6" s="179">
        <v>51</v>
      </c>
      <c r="E6" s="179">
        <f t="shared" ref="E6:E17" si="0">ROUNDUP($D6*1.2,0)</f>
        <v>62</v>
      </c>
      <c r="F6" s="179">
        <f>E6</f>
        <v>62</v>
      </c>
      <c r="H6" s="179">
        <v>1</v>
      </c>
      <c r="I6" s="180" t="s">
        <v>369</v>
      </c>
      <c r="J6" s="183">
        <v>76</v>
      </c>
      <c r="K6" s="179">
        <f t="shared" ref="K6:K22" si="1">ROUNDUP($J6*1.2,0)</f>
        <v>92</v>
      </c>
      <c r="L6" s="179">
        <f t="shared" ref="L6:L14" si="2">K6</f>
        <v>92</v>
      </c>
    </row>
    <row r="7" spans="2:12" ht="31.5" customHeight="1" x14ac:dyDescent="0.25">
      <c r="B7" s="179">
        <v>2</v>
      </c>
      <c r="C7" s="180" t="s">
        <v>368</v>
      </c>
      <c r="D7" s="179">
        <v>10</v>
      </c>
      <c r="E7" s="179">
        <f t="shared" si="0"/>
        <v>12</v>
      </c>
      <c r="F7" s="179">
        <f>E7</f>
        <v>12</v>
      </c>
      <c r="H7" s="179">
        <v>2</v>
      </c>
      <c r="I7" s="180" t="s">
        <v>368</v>
      </c>
      <c r="J7" s="183">
        <v>16</v>
      </c>
      <c r="K7" s="179">
        <f t="shared" si="1"/>
        <v>20</v>
      </c>
      <c r="L7" s="179">
        <f t="shared" si="2"/>
        <v>20</v>
      </c>
    </row>
    <row r="8" spans="2:12" ht="31.5" customHeight="1" x14ac:dyDescent="0.25">
      <c r="B8" s="179">
        <v>3</v>
      </c>
      <c r="C8" s="180" t="s">
        <v>363</v>
      </c>
      <c r="D8" s="179">
        <v>1</v>
      </c>
      <c r="E8" s="179">
        <f t="shared" si="0"/>
        <v>2</v>
      </c>
      <c r="F8" s="179">
        <f>E8</f>
        <v>2</v>
      </c>
      <c r="H8" s="179">
        <v>3</v>
      </c>
      <c r="I8" s="180" t="s">
        <v>367</v>
      </c>
      <c r="J8" s="183">
        <v>4</v>
      </c>
      <c r="K8" s="179">
        <f t="shared" si="1"/>
        <v>5</v>
      </c>
      <c r="L8" s="179">
        <f t="shared" si="2"/>
        <v>5</v>
      </c>
    </row>
    <row r="9" spans="2:12" ht="31.5" customHeight="1" x14ac:dyDescent="0.25">
      <c r="B9" s="179">
        <v>4</v>
      </c>
      <c r="C9" s="180" t="s">
        <v>362</v>
      </c>
      <c r="D9" s="179">
        <v>1</v>
      </c>
      <c r="E9" s="179">
        <f t="shared" si="0"/>
        <v>2</v>
      </c>
      <c r="F9" s="179">
        <f>E9</f>
        <v>2</v>
      </c>
      <c r="H9" s="179">
        <v>4</v>
      </c>
      <c r="I9" s="181" t="s">
        <v>366</v>
      </c>
      <c r="J9" s="183">
        <v>2</v>
      </c>
      <c r="K9" s="179">
        <f t="shared" si="1"/>
        <v>3</v>
      </c>
      <c r="L9" s="179">
        <f t="shared" si="2"/>
        <v>3</v>
      </c>
    </row>
    <row r="10" spans="2:12" ht="31.5" customHeight="1" x14ac:dyDescent="0.25">
      <c r="B10" s="179">
        <v>5</v>
      </c>
      <c r="C10" s="181" t="s">
        <v>360</v>
      </c>
      <c r="D10" s="179">
        <v>20</v>
      </c>
      <c r="E10" s="179">
        <f t="shared" si="0"/>
        <v>24</v>
      </c>
      <c r="F10" s="179">
        <v>30</v>
      </c>
      <c r="H10" s="179">
        <v>5</v>
      </c>
      <c r="I10" s="180" t="s">
        <v>365</v>
      </c>
      <c r="J10" s="183">
        <v>12</v>
      </c>
      <c r="K10" s="179">
        <f t="shared" si="1"/>
        <v>15</v>
      </c>
      <c r="L10" s="179">
        <f t="shared" si="2"/>
        <v>15</v>
      </c>
    </row>
    <row r="11" spans="2:12" ht="31.5" customHeight="1" x14ac:dyDescent="0.25">
      <c r="B11" s="179">
        <v>6</v>
      </c>
      <c r="C11" s="180" t="s">
        <v>359</v>
      </c>
      <c r="D11" s="179">
        <v>2</v>
      </c>
      <c r="E11" s="179">
        <f t="shared" si="0"/>
        <v>3</v>
      </c>
      <c r="F11" s="179">
        <f>E11</f>
        <v>3</v>
      </c>
      <c r="H11" s="179">
        <v>6</v>
      </c>
      <c r="I11" s="181" t="s">
        <v>364</v>
      </c>
      <c r="J11" s="183">
        <v>3</v>
      </c>
      <c r="K11" s="179">
        <f t="shared" si="1"/>
        <v>4</v>
      </c>
      <c r="L11" s="179">
        <f t="shared" si="2"/>
        <v>4</v>
      </c>
    </row>
    <row r="12" spans="2:12" ht="31.5" customHeight="1" x14ac:dyDescent="0.25">
      <c r="B12" s="179">
        <v>7</v>
      </c>
      <c r="C12" s="180" t="s">
        <v>358</v>
      </c>
      <c r="D12" s="179">
        <v>4</v>
      </c>
      <c r="E12" s="179">
        <f t="shared" si="0"/>
        <v>5</v>
      </c>
      <c r="F12" s="179">
        <f>F11*3</f>
        <v>9</v>
      </c>
      <c r="H12" s="179">
        <v>7</v>
      </c>
      <c r="I12" s="180" t="s">
        <v>363</v>
      </c>
      <c r="J12" s="183">
        <v>2</v>
      </c>
      <c r="K12" s="179">
        <f t="shared" si="1"/>
        <v>3</v>
      </c>
      <c r="L12" s="179">
        <f t="shared" si="2"/>
        <v>3</v>
      </c>
    </row>
    <row r="13" spans="2:12" ht="31.5" customHeight="1" x14ac:dyDescent="0.25">
      <c r="B13" s="179">
        <v>8</v>
      </c>
      <c r="C13" s="180" t="s">
        <v>357</v>
      </c>
      <c r="D13" s="179">
        <v>1</v>
      </c>
      <c r="E13" s="179">
        <f t="shared" si="0"/>
        <v>2</v>
      </c>
      <c r="F13" s="179">
        <f>E13</f>
        <v>2</v>
      </c>
      <c r="H13" s="179">
        <v>8</v>
      </c>
      <c r="I13" s="180" t="s">
        <v>362</v>
      </c>
      <c r="J13" s="183">
        <v>2</v>
      </c>
      <c r="K13" s="179">
        <f t="shared" si="1"/>
        <v>3</v>
      </c>
      <c r="L13" s="179">
        <f t="shared" si="2"/>
        <v>3</v>
      </c>
    </row>
    <row r="14" spans="2:12" ht="31.5" customHeight="1" x14ac:dyDescent="0.25">
      <c r="B14" s="179">
        <v>9</v>
      </c>
      <c r="C14" s="180" t="s">
        <v>356</v>
      </c>
      <c r="D14" s="179">
        <v>1</v>
      </c>
      <c r="E14" s="179">
        <f t="shared" si="0"/>
        <v>2</v>
      </c>
      <c r="F14" s="179">
        <f>F13*2</f>
        <v>4</v>
      </c>
      <c r="H14" s="179">
        <v>9</v>
      </c>
      <c r="I14" s="181" t="s">
        <v>361</v>
      </c>
      <c r="J14" s="183">
        <v>2</v>
      </c>
      <c r="K14" s="179">
        <f t="shared" si="1"/>
        <v>3</v>
      </c>
      <c r="L14" s="179">
        <f t="shared" si="2"/>
        <v>3</v>
      </c>
    </row>
    <row r="15" spans="2:12" ht="31.5" customHeight="1" x14ac:dyDescent="0.25">
      <c r="B15" s="179">
        <v>10</v>
      </c>
      <c r="C15" s="181" t="s">
        <v>355</v>
      </c>
      <c r="D15" s="179">
        <v>8</v>
      </c>
      <c r="E15" s="179">
        <f t="shared" si="0"/>
        <v>10</v>
      </c>
      <c r="F15" s="179">
        <f>E15</f>
        <v>10</v>
      </c>
      <c r="H15" s="179">
        <v>10</v>
      </c>
      <c r="I15" s="181" t="s">
        <v>360</v>
      </c>
      <c r="J15" s="183">
        <v>50</v>
      </c>
      <c r="K15" s="179">
        <f t="shared" si="1"/>
        <v>60</v>
      </c>
      <c r="L15" s="179">
        <v>50</v>
      </c>
    </row>
    <row r="16" spans="2:12" ht="46.5" customHeight="1" x14ac:dyDescent="0.25">
      <c r="B16" s="179">
        <v>11</v>
      </c>
      <c r="C16" s="180" t="s">
        <v>354</v>
      </c>
      <c r="D16" s="179">
        <v>5</v>
      </c>
      <c r="E16" s="179">
        <f t="shared" si="0"/>
        <v>6</v>
      </c>
      <c r="F16" s="179">
        <f>E16</f>
        <v>6</v>
      </c>
      <c r="H16" s="179">
        <v>11</v>
      </c>
      <c r="I16" s="180" t="s">
        <v>359</v>
      </c>
      <c r="J16" s="183">
        <v>6</v>
      </c>
      <c r="K16" s="179">
        <f t="shared" si="1"/>
        <v>8</v>
      </c>
      <c r="L16" s="179">
        <v>6</v>
      </c>
    </row>
    <row r="17" spans="2:12" ht="31.5" customHeight="1" x14ac:dyDescent="0.25">
      <c r="B17" s="179">
        <v>12</v>
      </c>
      <c r="C17" s="180" t="s">
        <v>353</v>
      </c>
      <c r="D17" s="179">
        <v>4</v>
      </c>
      <c r="E17" s="179">
        <f t="shared" si="0"/>
        <v>5</v>
      </c>
      <c r="F17" s="179">
        <f>E17</f>
        <v>5</v>
      </c>
      <c r="H17" s="179">
        <v>12</v>
      </c>
      <c r="I17" s="180" t="s">
        <v>358</v>
      </c>
      <c r="J17" s="183">
        <v>18</v>
      </c>
      <c r="K17" s="179">
        <f t="shared" si="1"/>
        <v>22</v>
      </c>
      <c r="L17" s="179">
        <f>L16*3</f>
        <v>18</v>
      </c>
    </row>
    <row r="18" spans="2:12" ht="31.5" customHeight="1" x14ac:dyDescent="0.25">
      <c r="H18" s="179">
        <v>13</v>
      </c>
      <c r="I18" s="180" t="s">
        <v>357</v>
      </c>
      <c r="J18" s="183">
        <v>2</v>
      </c>
      <c r="K18" s="179">
        <f t="shared" si="1"/>
        <v>3</v>
      </c>
      <c r="L18" s="179">
        <f>K18</f>
        <v>3</v>
      </c>
    </row>
    <row r="19" spans="2:12" ht="31.5" customHeight="1" x14ac:dyDescent="0.25">
      <c r="H19" s="179">
        <v>14</v>
      </c>
      <c r="I19" s="180" t="s">
        <v>356</v>
      </c>
      <c r="J19" s="183">
        <v>4</v>
      </c>
      <c r="K19" s="179">
        <f t="shared" si="1"/>
        <v>5</v>
      </c>
      <c r="L19" s="179">
        <f>L18*2</f>
        <v>6</v>
      </c>
    </row>
    <row r="20" spans="2:12" ht="31.5" customHeight="1" x14ac:dyDescent="0.25">
      <c r="H20" s="179">
        <v>15</v>
      </c>
      <c r="I20" s="181" t="s">
        <v>355</v>
      </c>
      <c r="J20" s="183">
        <v>12</v>
      </c>
      <c r="K20" s="179">
        <f t="shared" si="1"/>
        <v>15</v>
      </c>
      <c r="L20" s="179">
        <f>K20</f>
        <v>15</v>
      </c>
    </row>
    <row r="21" spans="2:12" ht="51" customHeight="1" x14ac:dyDescent="0.25">
      <c r="H21" s="179">
        <v>16</v>
      </c>
      <c r="I21" s="180" t="s">
        <v>354</v>
      </c>
      <c r="J21" s="183">
        <v>6</v>
      </c>
      <c r="K21" s="179">
        <f t="shared" si="1"/>
        <v>8</v>
      </c>
      <c r="L21" s="179">
        <f>K21</f>
        <v>8</v>
      </c>
    </row>
    <row r="22" spans="2:12" ht="31.5" customHeight="1" x14ac:dyDescent="0.25">
      <c r="H22" s="179">
        <v>17</v>
      </c>
      <c r="I22" s="180" t="s">
        <v>353</v>
      </c>
      <c r="J22" s="183">
        <v>5</v>
      </c>
      <c r="K22" s="179">
        <f t="shared" si="1"/>
        <v>6</v>
      </c>
      <c r="L22" s="179">
        <f>K22</f>
        <v>6</v>
      </c>
    </row>
  </sheetData>
  <mergeCells count="7">
    <mergeCell ref="B1:L1"/>
    <mergeCell ref="B4:F4"/>
    <mergeCell ref="H4:L4"/>
    <mergeCell ref="C3:F3"/>
    <mergeCell ref="I3:L3"/>
    <mergeCell ref="B2:F2"/>
    <mergeCell ref="H2:L2"/>
  </mergeCells>
  <pageMargins left="0.511811024" right="0.511811024" top="0.78740157499999996" bottom="0.78740157499999996" header="0.31496062000000002" footer="0.31496062000000002"/>
  <pageSetup paperSize="9" scale="4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80" zoomScaleNormal="80" workbookViewId="0">
      <selection activeCell="B60" sqref="B60"/>
    </sheetView>
  </sheetViews>
  <sheetFormatPr defaultRowHeight="15" x14ac:dyDescent="0.25"/>
  <cols>
    <col min="1" max="1" width="22.140625" customWidth="1"/>
    <col min="2" max="2" width="92.5703125" customWidth="1"/>
    <col min="3" max="3" width="8.5703125" bestFit="1" customWidth="1"/>
    <col min="4" max="4" width="19.5703125" customWidth="1"/>
    <col min="5" max="5" width="14" customWidth="1"/>
    <col min="6" max="6" width="14.28515625" customWidth="1"/>
  </cols>
  <sheetData>
    <row r="1" spans="1:11" s="6" customFormat="1" ht="15.75" x14ac:dyDescent="0.25">
      <c r="A1" s="1" t="s">
        <v>8</v>
      </c>
      <c r="B1" s="2" t="s">
        <v>21</v>
      </c>
      <c r="C1" s="7" t="s">
        <v>22</v>
      </c>
      <c r="D1" s="3" t="s">
        <v>23</v>
      </c>
      <c r="E1" s="4" t="s">
        <v>24</v>
      </c>
      <c r="F1" s="4" t="s">
        <v>25</v>
      </c>
      <c r="G1" s="5"/>
      <c r="H1" s="5"/>
      <c r="I1" s="5"/>
      <c r="J1" s="5"/>
      <c r="K1" s="5"/>
    </row>
    <row r="2" spans="1:11" s="6" customFormat="1" ht="31.5" x14ac:dyDescent="0.25">
      <c r="A2" s="1" t="s">
        <v>10</v>
      </c>
      <c r="B2" s="2" t="s">
        <v>27</v>
      </c>
      <c r="C2" s="1"/>
      <c r="D2" s="3"/>
      <c r="E2" s="4"/>
      <c r="F2" s="4">
        <f>SUM(F3,F4,F5)</f>
        <v>37.994591</v>
      </c>
      <c r="G2" s="5"/>
      <c r="H2" s="5"/>
      <c r="I2" s="5"/>
      <c r="J2" s="5"/>
      <c r="K2" s="5"/>
    </row>
    <row r="3" spans="1:11" s="6" customFormat="1" ht="15.75" x14ac:dyDescent="0.25">
      <c r="A3" s="8">
        <v>39385</v>
      </c>
      <c r="B3" s="18" t="s">
        <v>46</v>
      </c>
      <c r="C3" s="8" t="s">
        <v>30</v>
      </c>
      <c r="D3" s="11">
        <v>1</v>
      </c>
      <c r="E3" s="12">
        <v>29.98</v>
      </c>
      <c r="F3" s="12">
        <f>D3*E3</f>
        <v>29.98</v>
      </c>
      <c r="G3" s="5"/>
      <c r="H3" s="5"/>
      <c r="I3" s="5"/>
      <c r="J3" s="5"/>
      <c r="K3" s="5"/>
    </row>
    <row r="4" spans="1:11" s="6" customFormat="1" ht="15.75" x14ac:dyDescent="0.25">
      <c r="A4" s="8">
        <v>88247</v>
      </c>
      <c r="B4" s="9" t="s">
        <v>28</v>
      </c>
      <c r="C4" s="10" t="s">
        <v>26</v>
      </c>
      <c r="D4" s="11">
        <v>0.22309999999999999</v>
      </c>
      <c r="E4" s="12">
        <v>15.61</v>
      </c>
      <c r="F4" s="12">
        <f>D4*E4</f>
        <v>3.4825909999999998</v>
      </c>
      <c r="G4" s="5"/>
      <c r="H4" s="5"/>
      <c r="I4" s="5"/>
      <c r="J4" s="5"/>
      <c r="K4" s="5"/>
    </row>
    <row r="5" spans="1:11" s="6" customFormat="1" ht="15.75" x14ac:dyDescent="0.25">
      <c r="A5" s="8">
        <v>88264</v>
      </c>
      <c r="B5" s="9" t="s">
        <v>29</v>
      </c>
      <c r="C5" s="10" t="s">
        <v>26</v>
      </c>
      <c r="D5" s="11">
        <v>0.22</v>
      </c>
      <c r="E5" s="12">
        <v>20.6</v>
      </c>
      <c r="F5" s="12">
        <f t="shared" ref="F5" si="0">D5*E5</f>
        <v>4.532</v>
      </c>
      <c r="G5" s="5"/>
      <c r="H5" s="5"/>
      <c r="I5" s="5"/>
      <c r="J5" s="5"/>
      <c r="K5" s="5"/>
    </row>
    <row r="6" spans="1:11" s="6" customFormat="1" ht="31.5" x14ac:dyDescent="0.25">
      <c r="A6" s="1" t="s">
        <v>11</v>
      </c>
      <c r="B6" s="13" t="s">
        <v>31</v>
      </c>
      <c r="C6" s="14" t="s">
        <v>6</v>
      </c>
      <c r="D6" s="15"/>
      <c r="E6" s="16"/>
      <c r="F6" s="16">
        <f>SUM(F7:F15)</f>
        <v>46.339999999999996</v>
      </c>
      <c r="G6" s="5"/>
      <c r="H6" s="5"/>
      <c r="I6" s="5"/>
      <c r="J6" s="5"/>
      <c r="K6" s="5"/>
    </row>
    <row r="7" spans="1:11" s="6" customFormat="1" ht="15.75" x14ac:dyDescent="0.25">
      <c r="A7" s="8">
        <v>142</v>
      </c>
      <c r="B7" s="9" t="s">
        <v>32</v>
      </c>
      <c r="C7" s="10" t="s">
        <v>33</v>
      </c>
      <c r="D7" s="11">
        <v>0.19800000000000001</v>
      </c>
      <c r="E7" s="12">
        <v>26.04</v>
      </c>
      <c r="F7" s="17">
        <f t="shared" ref="F7:F15" si="1">TRUNC(E7*D7,2)</f>
        <v>5.15</v>
      </c>
      <c r="G7" s="5"/>
      <c r="H7" s="5"/>
      <c r="I7" s="5"/>
      <c r="J7" s="5"/>
      <c r="K7" s="5"/>
    </row>
    <row r="8" spans="1:11" s="6" customFormat="1" ht="15.75" x14ac:dyDescent="0.25">
      <c r="A8" s="8">
        <v>5061</v>
      </c>
      <c r="B8" s="9" t="s">
        <v>34</v>
      </c>
      <c r="C8" s="10" t="s">
        <v>7</v>
      </c>
      <c r="D8" s="11">
        <v>6.0000000000000001E-3</v>
      </c>
      <c r="E8" s="17">
        <v>18</v>
      </c>
      <c r="F8" s="17">
        <f t="shared" si="1"/>
        <v>0.1</v>
      </c>
      <c r="G8" s="5"/>
      <c r="H8" s="5"/>
      <c r="I8" s="5"/>
      <c r="J8" s="5"/>
      <c r="K8" s="5"/>
    </row>
    <row r="9" spans="1:11" s="6" customFormat="1" ht="15.75" x14ac:dyDescent="0.25">
      <c r="A9" s="8">
        <v>5104</v>
      </c>
      <c r="B9" s="9" t="s">
        <v>35</v>
      </c>
      <c r="C9" s="10" t="s">
        <v>7</v>
      </c>
      <c r="D9" s="11">
        <v>1.1999999999999999E-3</v>
      </c>
      <c r="E9" s="17">
        <v>65.8</v>
      </c>
      <c r="F9" s="17">
        <f t="shared" si="1"/>
        <v>7.0000000000000007E-2</v>
      </c>
      <c r="G9" s="5"/>
      <c r="H9" s="5"/>
      <c r="I9" s="5"/>
      <c r="J9" s="5"/>
      <c r="K9" s="5"/>
    </row>
    <row r="10" spans="1:11" s="6" customFormat="1" ht="15.75" x14ac:dyDescent="0.25">
      <c r="A10" s="8">
        <v>13388</v>
      </c>
      <c r="B10" s="9" t="s">
        <v>36</v>
      </c>
      <c r="C10" s="10" t="s">
        <v>7</v>
      </c>
      <c r="D10" s="11">
        <v>4.4999999999999998E-2</v>
      </c>
      <c r="E10" s="17">
        <v>107.06</v>
      </c>
      <c r="F10" s="17">
        <f t="shared" si="1"/>
        <v>4.8099999999999996</v>
      </c>
      <c r="G10" s="5"/>
      <c r="H10" s="5"/>
      <c r="I10" s="5"/>
      <c r="J10" s="5"/>
      <c r="K10" s="5"/>
    </row>
    <row r="11" spans="1:11" s="6" customFormat="1" ht="31.5" x14ac:dyDescent="0.25">
      <c r="A11" s="8">
        <v>40872</v>
      </c>
      <c r="B11" s="9" t="s">
        <v>37</v>
      </c>
      <c r="C11" s="10" t="s">
        <v>6</v>
      </c>
      <c r="D11" s="11">
        <v>1.05</v>
      </c>
      <c r="E11" s="17">
        <v>28.73</v>
      </c>
      <c r="F11" s="17">
        <f t="shared" si="1"/>
        <v>30.16</v>
      </c>
      <c r="G11" s="5"/>
      <c r="H11" s="5"/>
      <c r="I11" s="5"/>
      <c r="J11" s="5"/>
      <c r="K11" s="5"/>
    </row>
    <row r="12" spans="1:11" s="6" customFormat="1" ht="15.75" x14ac:dyDescent="0.25">
      <c r="A12" s="8">
        <v>88316</v>
      </c>
      <c r="B12" s="9" t="s">
        <v>38</v>
      </c>
      <c r="C12" s="10" t="s">
        <v>26</v>
      </c>
      <c r="D12" s="11">
        <v>0.20699999999999999</v>
      </c>
      <c r="E12" s="12">
        <v>15.65</v>
      </c>
      <c r="F12" s="17">
        <f t="shared" si="1"/>
        <v>3.23</v>
      </c>
      <c r="G12" s="5"/>
      <c r="H12" s="5"/>
      <c r="I12" s="5"/>
      <c r="J12" s="5"/>
      <c r="K12" s="5"/>
    </row>
    <row r="13" spans="1:11" s="6" customFormat="1" ht="15.75" x14ac:dyDescent="0.25">
      <c r="A13" s="8">
        <v>88323</v>
      </c>
      <c r="B13" s="9" t="s">
        <v>39</v>
      </c>
      <c r="C13" s="10" t="s">
        <v>26</v>
      </c>
      <c r="D13" s="11">
        <v>0.112</v>
      </c>
      <c r="E13" s="17">
        <v>21.12</v>
      </c>
      <c r="F13" s="17">
        <f t="shared" si="1"/>
        <v>2.36</v>
      </c>
      <c r="G13" s="5"/>
      <c r="H13" s="5"/>
      <c r="I13" s="5"/>
      <c r="J13" s="5"/>
      <c r="K13" s="5"/>
    </row>
    <row r="14" spans="1:11" s="6" customFormat="1" ht="31.5" x14ac:dyDescent="0.25">
      <c r="A14" s="8">
        <v>93281</v>
      </c>
      <c r="B14" s="9" t="s">
        <v>40</v>
      </c>
      <c r="C14" s="10" t="s">
        <v>9</v>
      </c>
      <c r="D14" s="11">
        <v>1.32E-2</v>
      </c>
      <c r="E14" s="17">
        <v>14.78</v>
      </c>
      <c r="F14" s="17">
        <f t="shared" si="1"/>
        <v>0.19</v>
      </c>
      <c r="G14" s="5"/>
      <c r="H14" s="5"/>
      <c r="I14" s="5"/>
      <c r="J14" s="5"/>
      <c r="K14" s="5"/>
    </row>
    <row r="15" spans="1:11" s="6" customFormat="1" ht="31.5" x14ac:dyDescent="0.25">
      <c r="A15" s="8">
        <v>93282</v>
      </c>
      <c r="B15" s="9" t="s">
        <v>40</v>
      </c>
      <c r="C15" s="10" t="s">
        <v>41</v>
      </c>
      <c r="D15" s="11">
        <v>1.83E-2</v>
      </c>
      <c r="E15" s="17">
        <v>14.78</v>
      </c>
      <c r="F15" s="17">
        <f t="shared" si="1"/>
        <v>0.27</v>
      </c>
      <c r="G15" s="5"/>
      <c r="H15" s="5"/>
      <c r="I15" s="5"/>
      <c r="J15" s="5"/>
      <c r="K15" s="5"/>
    </row>
    <row r="16" spans="1:11" s="6" customFormat="1" ht="15.75" x14ac:dyDescent="0.25">
      <c r="A16" s="1" t="s">
        <v>45</v>
      </c>
      <c r="B16" s="2" t="s">
        <v>16</v>
      </c>
      <c r="C16" s="1"/>
      <c r="D16" s="3"/>
      <c r="E16" s="4"/>
      <c r="F16" s="4">
        <f>SUM(F17:F19)</f>
        <v>527.00382999999988</v>
      </c>
      <c r="G16" s="5"/>
      <c r="H16" s="5"/>
      <c r="I16" s="5"/>
      <c r="J16" s="5"/>
      <c r="K16" s="5"/>
    </row>
    <row r="17" spans="1:11" s="6" customFormat="1" ht="15.75" x14ac:dyDescent="0.25">
      <c r="A17" s="8">
        <v>142</v>
      </c>
      <c r="B17" s="9" t="s">
        <v>32</v>
      </c>
      <c r="C17" s="10" t="s">
        <v>33</v>
      </c>
      <c r="D17" s="11">
        <v>0.88290000000000002</v>
      </c>
      <c r="E17" s="12">
        <v>26.04</v>
      </c>
      <c r="F17" s="17">
        <f>D17*E17</f>
        <v>22.990715999999999</v>
      </c>
      <c r="G17" s="5"/>
      <c r="H17" s="5"/>
      <c r="I17" s="5"/>
      <c r="J17" s="5"/>
      <c r="K17" s="5"/>
    </row>
    <row r="18" spans="1:11" s="6" customFormat="1" ht="31.5" x14ac:dyDescent="0.25">
      <c r="A18" s="8">
        <v>91341</v>
      </c>
      <c r="B18" s="9" t="s">
        <v>42</v>
      </c>
      <c r="C18" s="10" t="s">
        <v>43</v>
      </c>
      <c r="D18" s="11">
        <v>0.96</v>
      </c>
      <c r="E18" s="17">
        <v>521.04999999999995</v>
      </c>
      <c r="F18" s="17">
        <f t="shared" ref="F18" si="2">D18*E18</f>
        <v>500.20799999999991</v>
      </c>
      <c r="G18" s="5"/>
      <c r="H18" s="5"/>
      <c r="I18" s="5"/>
      <c r="J18" s="5"/>
      <c r="K18" s="5"/>
    </row>
    <row r="19" spans="1:11" s="6" customFormat="1" ht="31.5" x14ac:dyDescent="0.25">
      <c r="A19" s="8">
        <v>7568</v>
      </c>
      <c r="B19" s="9" t="s">
        <v>44</v>
      </c>
      <c r="C19" s="10" t="s">
        <v>30</v>
      </c>
      <c r="D19" s="11">
        <v>4.8166000000000002</v>
      </c>
      <c r="E19" s="17">
        <v>0.79</v>
      </c>
      <c r="F19" s="17">
        <f>D19*E19</f>
        <v>3.8051140000000006</v>
      </c>
      <c r="G19" s="5"/>
      <c r="H19" s="5"/>
      <c r="I19" s="5"/>
      <c r="J19" s="5"/>
      <c r="K19" s="5"/>
    </row>
    <row r="20" spans="1:11" s="6" customFormat="1" ht="15.75" x14ac:dyDescent="0.25">
      <c r="A20" s="1" t="s">
        <v>13</v>
      </c>
      <c r="B20" s="2" t="s">
        <v>47</v>
      </c>
      <c r="C20" s="1"/>
      <c r="D20" s="3"/>
      <c r="E20" s="4"/>
      <c r="F20" s="4">
        <f>SUM(F21,F22,F23)</f>
        <v>214.10249999999999</v>
      </c>
      <c r="G20" s="5"/>
      <c r="H20" s="5"/>
      <c r="I20" s="5"/>
      <c r="J20" s="5"/>
      <c r="K20" s="5"/>
    </row>
    <row r="21" spans="1:11" s="6" customFormat="1" ht="15.75" x14ac:dyDescent="0.25">
      <c r="A21" s="10">
        <v>39391</v>
      </c>
      <c r="B21" s="19" t="s">
        <v>48</v>
      </c>
      <c r="C21" s="8" t="s">
        <v>30</v>
      </c>
      <c r="D21" s="11">
        <v>5</v>
      </c>
      <c r="E21" s="12">
        <v>41.01</v>
      </c>
      <c r="F21" s="12">
        <f>D21*E21</f>
        <v>205.04999999999998</v>
      </c>
      <c r="G21" s="5"/>
      <c r="H21" s="5"/>
      <c r="I21" s="5"/>
      <c r="J21" s="5"/>
      <c r="K21" s="5"/>
    </row>
    <row r="22" spans="1:11" s="6" customFormat="1" ht="15.75" x14ac:dyDescent="0.25">
      <c r="A22" s="8">
        <v>88247</v>
      </c>
      <c r="B22" s="9" t="s">
        <v>28</v>
      </c>
      <c r="C22" s="10" t="s">
        <v>26</v>
      </c>
      <c r="D22" s="11">
        <v>0.25</v>
      </c>
      <c r="E22" s="12">
        <v>15.61</v>
      </c>
      <c r="F22" s="12">
        <f>D22*E22</f>
        <v>3.9024999999999999</v>
      </c>
      <c r="G22" s="5"/>
      <c r="H22" s="5"/>
      <c r="I22" s="5"/>
      <c r="J22" s="5"/>
      <c r="K22" s="5"/>
    </row>
    <row r="23" spans="1:11" s="6" customFormat="1" ht="15.75" x14ac:dyDescent="0.25">
      <c r="A23" s="8">
        <v>88264</v>
      </c>
      <c r="B23" s="9" t="s">
        <v>29</v>
      </c>
      <c r="C23" s="10" t="s">
        <v>26</v>
      </c>
      <c r="D23" s="11">
        <v>0.25</v>
      </c>
      <c r="E23" s="12">
        <v>20.6</v>
      </c>
      <c r="F23" s="12">
        <f t="shared" ref="F23" si="3">D23*E23</f>
        <v>5.15</v>
      </c>
      <c r="G23" s="5"/>
      <c r="H23" s="5"/>
      <c r="I23" s="5"/>
      <c r="J23" s="5"/>
      <c r="K23" s="5"/>
    </row>
    <row r="24" spans="1:11" s="6" customFormat="1" ht="31.5" x14ac:dyDescent="0.25">
      <c r="A24" s="20" t="s">
        <v>14</v>
      </c>
      <c r="B24" s="21" t="s">
        <v>17</v>
      </c>
      <c r="C24" s="22" t="s">
        <v>0</v>
      </c>
      <c r="D24" s="23"/>
      <c r="E24" s="24"/>
      <c r="F24" s="16">
        <f>SUM(F25:F27)</f>
        <v>11.72</v>
      </c>
      <c r="G24" s="5"/>
      <c r="H24" s="5"/>
      <c r="I24" s="5"/>
      <c r="J24" s="5"/>
      <c r="K24" s="5"/>
    </row>
    <row r="25" spans="1:11" s="6" customFormat="1" ht="15.75" x14ac:dyDescent="0.25">
      <c r="A25" s="10" t="s">
        <v>49</v>
      </c>
      <c r="B25" s="9" t="s">
        <v>50</v>
      </c>
      <c r="C25" s="10" t="s">
        <v>51</v>
      </c>
      <c r="D25" s="11">
        <v>0.2</v>
      </c>
      <c r="E25" s="17">
        <f>608/18</f>
        <v>33.777777777777779</v>
      </c>
      <c r="F25" s="17">
        <f t="shared" ref="F25:F27" si="4">TRUNC(E25*D25,2)</f>
        <v>6.75</v>
      </c>
      <c r="G25" s="5"/>
      <c r="H25" s="5"/>
      <c r="I25" s="5"/>
      <c r="J25" s="5"/>
      <c r="K25" s="5"/>
    </row>
    <row r="26" spans="1:11" s="6" customFormat="1" ht="15.75" x14ac:dyDescent="0.25">
      <c r="A26" s="8">
        <v>88310</v>
      </c>
      <c r="B26" s="9" t="s">
        <v>52</v>
      </c>
      <c r="C26" s="10" t="s">
        <v>26</v>
      </c>
      <c r="D26" s="11">
        <v>0.20100000000000001</v>
      </c>
      <c r="E26" s="17">
        <v>20.86</v>
      </c>
      <c r="F26" s="17">
        <f t="shared" si="4"/>
        <v>4.1900000000000004</v>
      </c>
      <c r="G26" s="5"/>
      <c r="H26" s="5"/>
      <c r="I26" s="5"/>
      <c r="J26" s="5"/>
      <c r="K26" s="5"/>
    </row>
    <row r="27" spans="1:11" s="6" customFormat="1" ht="15.75" x14ac:dyDescent="0.25">
      <c r="A27" s="8">
        <v>88316</v>
      </c>
      <c r="B27" s="9" t="s">
        <v>38</v>
      </c>
      <c r="C27" s="10" t="s">
        <v>26</v>
      </c>
      <c r="D27" s="11">
        <v>0.05</v>
      </c>
      <c r="E27" s="12">
        <v>15.65</v>
      </c>
      <c r="F27" s="17">
        <f t="shared" si="4"/>
        <v>0.78</v>
      </c>
      <c r="G27" s="5"/>
      <c r="H27" s="5"/>
      <c r="I27" s="5"/>
      <c r="J27" s="5"/>
      <c r="K27" s="5"/>
    </row>
    <row r="28" spans="1:11" s="6" customFormat="1" ht="31.5" x14ac:dyDescent="0.25">
      <c r="A28" s="20" t="s">
        <v>15</v>
      </c>
      <c r="B28" s="2" t="s">
        <v>53</v>
      </c>
      <c r="C28" s="1"/>
      <c r="D28" s="3"/>
      <c r="E28" s="4"/>
      <c r="F28" s="4">
        <f>SUM(F29:F31)</f>
        <v>12.619944444444442</v>
      </c>
      <c r="G28" s="5"/>
      <c r="H28" s="5"/>
      <c r="I28" s="5"/>
      <c r="J28" s="5"/>
      <c r="K28" s="5"/>
    </row>
    <row r="29" spans="1:11" s="6" customFormat="1" ht="15.75" x14ac:dyDescent="0.25">
      <c r="A29" s="8">
        <v>88310</v>
      </c>
      <c r="B29" s="9" t="s">
        <v>52</v>
      </c>
      <c r="C29" s="10" t="s">
        <v>26</v>
      </c>
      <c r="D29" s="11">
        <v>0.2</v>
      </c>
      <c r="E29" s="17">
        <v>20.86</v>
      </c>
      <c r="F29" s="17">
        <f t="shared" ref="F29:F31" si="5">D29*E29</f>
        <v>4.1719999999999997</v>
      </c>
      <c r="G29" s="5"/>
      <c r="H29" s="5"/>
      <c r="I29" s="5"/>
      <c r="J29" s="5"/>
      <c r="K29" s="5"/>
    </row>
    <row r="30" spans="1:11" s="6" customFormat="1" ht="15.75" x14ac:dyDescent="0.25">
      <c r="A30" s="8">
        <v>88316</v>
      </c>
      <c r="B30" s="9" t="s">
        <v>38</v>
      </c>
      <c r="C30" s="10" t="s">
        <v>26</v>
      </c>
      <c r="D30" s="11">
        <v>0.05</v>
      </c>
      <c r="E30" s="12">
        <v>15.65</v>
      </c>
      <c r="F30" s="17">
        <f t="shared" si="5"/>
        <v>0.78250000000000008</v>
      </c>
      <c r="G30" s="5"/>
      <c r="H30" s="5"/>
      <c r="I30" s="5"/>
      <c r="J30" s="5"/>
      <c r="K30" s="5"/>
    </row>
    <row r="31" spans="1:11" s="6" customFormat="1" ht="15.75" x14ac:dyDescent="0.25">
      <c r="A31" s="10" t="s">
        <v>49</v>
      </c>
      <c r="B31" s="9" t="s">
        <v>54</v>
      </c>
      <c r="C31" s="10" t="s">
        <v>51</v>
      </c>
      <c r="D31" s="11">
        <v>0.2</v>
      </c>
      <c r="E31" s="17">
        <f>689.89/18</f>
        <v>38.327222222222218</v>
      </c>
      <c r="F31" s="17">
        <f t="shared" si="5"/>
        <v>7.6654444444444438</v>
      </c>
      <c r="G31" s="5"/>
      <c r="H31" s="5"/>
      <c r="I31" s="5"/>
      <c r="J31" s="5"/>
      <c r="K31" s="5"/>
    </row>
    <row r="32" spans="1:11" s="6" customFormat="1" ht="15.75" x14ac:dyDescent="0.25">
      <c r="A32" s="20" t="s">
        <v>77</v>
      </c>
      <c r="B32" s="2" t="s">
        <v>57</v>
      </c>
      <c r="C32" s="1"/>
      <c r="D32" s="3"/>
      <c r="E32" s="4"/>
      <c r="F32" s="4">
        <f>SUM(F33:F34)</f>
        <v>4.9544999999999995</v>
      </c>
      <c r="G32" s="5"/>
      <c r="H32" s="5"/>
      <c r="I32" s="5"/>
      <c r="J32" s="5"/>
      <c r="K32" s="5"/>
    </row>
    <row r="33" spans="1:11" s="6" customFormat="1" ht="15.75" x14ac:dyDescent="0.25">
      <c r="A33" s="8">
        <v>88310</v>
      </c>
      <c r="B33" s="9" t="s">
        <v>52</v>
      </c>
      <c r="C33" s="10" t="s">
        <v>26</v>
      </c>
      <c r="D33" s="11">
        <v>0.2</v>
      </c>
      <c r="E33" s="17">
        <v>20.86</v>
      </c>
      <c r="F33" s="17">
        <f t="shared" ref="F33:F34" si="6">D33*E33</f>
        <v>4.1719999999999997</v>
      </c>
      <c r="G33" s="5"/>
      <c r="H33" s="5"/>
      <c r="I33" s="5"/>
      <c r="J33" s="5"/>
      <c r="K33" s="5"/>
    </row>
    <row r="34" spans="1:11" s="6" customFormat="1" ht="15.75" x14ac:dyDescent="0.25">
      <c r="A34" s="8">
        <v>88316</v>
      </c>
      <c r="B34" s="9" t="s">
        <v>38</v>
      </c>
      <c r="C34" s="10" t="s">
        <v>26</v>
      </c>
      <c r="D34" s="11">
        <v>0.05</v>
      </c>
      <c r="E34" s="12">
        <v>15.65</v>
      </c>
      <c r="F34" s="17">
        <f t="shared" si="6"/>
        <v>0.78250000000000008</v>
      </c>
      <c r="G34" s="5"/>
      <c r="H34" s="5"/>
      <c r="I34" s="5"/>
      <c r="J34" s="5"/>
      <c r="K34" s="5"/>
    </row>
    <row r="35" spans="1:11" s="29" customFormat="1" ht="15.75" x14ac:dyDescent="0.25">
      <c r="A35" s="25" t="s">
        <v>79</v>
      </c>
      <c r="B35" s="26" t="s">
        <v>78</v>
      </c>
      <c r="C35" s="41" t="s">
        <v>6</v>
      </c>
      <c r="D35" s="27"/>
      <c r="E35" s="28"/>
      <c r="F35" s="28">
        <v>2.7999299999999998</v>
      </c>
    </row>
    <row r="36" spans="1:11" s="36" customFormat="1" ht="15.75" x14ac:dyDescent="0.25">
      <c r="A36" s="30">
        <v>88316</v>
      </c>
      <c r="B36" s="31" t="s">
        <v>38</v>
      </c>
      <c r="C36" s="30" t="s">
        <v>26</v>
      </c>
      <c r="D36" s="32">
        <v>0.15</v>
      </c>
      <c r="E36" s="33">
        <v>14.87</v>
      </c>
      <c r="F36" s="34">
        <v>2.2304999999999997</v>
      </c>
      <c r="G36" s="35"/>
    </row>
    <row r="37" spans="1:11" s="36" customFormat="1" ht="15.75" x14ac:dyDescent="0.25">
      <c r="A37" s="37">
        <v>88323</v>
      </c>
      <c r="B37" s="38" t="s">
        <v>39</v>
      </c>
      <c r="C37" s="39" t="s">
        <v>26</v>
      </c>
      <c r="D37" s="40">
        <v>2.8500000000000001E-2</v>
      </c>
      <c r="E37" s="33">
        <v>19.98</v>
      </c>
      <c r="F37" s="34">
        <v>0.56942999999999999</v>
      </c>
    </row>
    <row r="38" spans="1:11" s="5" customFormat="1" ht="15.75" x14ac:dyDescent="0.25">
      <c r="A38" s="42" t="s">
        <v>91</v>
      </c>
      <c r="B38" s="43" t="s">
        <v>80</v>
      </c>
      <c r="C38" s="44" t="s">
        <v>12</v>
      </c>
      <c r="D38" s="45"/>
      <c r="E38" s="12"/>
      <c r="F38" s="4">
        <f>SUM(F39:F43)</f>
        <v>214.85864999999998</v>
      </c>
    </row>
    <row r="39" spans="1:11" s="49" customFormat="1" ht="15.75" x14ac:dyDescent="0.25">
      <c r="A39" s="46">
        <v>88315</v>
      </c>
      <c r="B39" s="47" t="s">
        <v>81</v>
      </c>
      <c r="C39" s="48" t="s">
        <v>26</v>
      </c>
      <c r="D39" s="11">
        <v>0.97740000000000005</v>
      </c>
      <c r="E39" s="17">
        <v>19.75</v>
      </c>
      <c r="F39" s="17">
        <f>D39*E39</f>
        <v>19.303650000000001</v>
      </c>
    </row>
    <row r="40" spans="1:11" s="49" customFormat="1" ht="15.75" x14ac:dyDescent="0.25">
      <c r="A40" s="46">
        <v>88317</v>
      </c>
      <c r="B40" s="47" t="s">
        <v>82</v>
      </c>
      <c r="C40" s="10" t="s">
        <v>26</v>
      </c>
      <c r="D40" s="11">
        <v>2.5</v>
      </c>
      <c r="E40" s="17">
        <v>20.41</v>
      </c>
      <c r="F40" s="17">
        <f t="shared" ref="F40:F42" si="7">D40*E40</f>
        <v>51.024999999999999</v>
      </c>
    </row>
    <row r="41" spans="1:11" s="49" customFormat="1" ht="15.75" x14ac:dyDescent="0.25">
      <c r="A41" s="8">
        <v>10998</v>
      </c>
      <c r="B41" s="18" t="s">
        <v>83</v>
      </c>
      <c r="C41" s="10" t="s">
        <v>84</v>
      </c>
      <c r="D41" s="10">
        <v>0.6</v>
      </c>
      <c r="E41" s="50">
        <v>13.6</v>
      </c>
      <c r="F41" s="17">
        <f t="shared" si="7"/>
        <v>8.16</v>
      </c>
    </row>
    <row r="42" spans="1:11" s="49" customFormat="1" ht="15.75" x14ac:dyDescent="0.25">
      <c r="A42" s="8" t="s">
        <v>49</v>
      </c>
      <c r="B42" s="51" t="s">
        <v>85</v>
      </c>
      <c r="C42" s="10" t="s">
        <v>12</v>
      </c>
      <c r="D42" s="11">
        <v>1</v>
      </c>
      <c r="E42" s="52">
        <v>135.79</v>
      </c>
      <c r="F42" s="53">
        <f t="shared" si="7"/>
        <v>135.79</v>
      </c>
    </row>
    <row r="43" spans="1:11" s="49" customFormat="1" ht="31.5" x14ac:dyDescent="0.25">
      <c r="A43" s="8">
        <v>43465</v>
      </c>
      <c r="B43" s="54" t="s">
        <v>86</v>
      </c>
      <c r="C43" s="10" t="s">
        <v>26</v>
      </c>
      <c r="D43" s="55">
        <v>1</v>
      </c>
      <c r="E43" s="17">
        <v>0.57999999999999996</v>
      </c>
      <c r="F43" s="52">
        <f>D43*E43</f>
        <v>0.57999999999999996</v>
      </c>
    </row>
    <row r="44" spans="1:11" s="29" customFormat="1" ht="15.75" x14ac:dyDescent="0.25">
      <c r="A44" s="25" t="s">
        <v>92</v>
      </c>
      <c r="B44" s="26" t="s">
        <v>87</v>
      </c>
      <c r="C44" s="25" t="s">
        <v>12</v>
      </c>
      <c r="D44" s="27"/>
      <c r="E44" s="59"/>
      <c r="F44" s="59">
        <f>SUM(F45:F47)</f>
        <v>740.84</v>
      </c>
    </row>
    <row r="45" spans="1:11" s="36" customFormat="1" ht="15.75" x14ac:dyDescent="0.25">
      <c r="A45" s="30">
        <v>88316</v>
      </c>
      <c r="B45" s="31" t="s">
        <v>38</v>
      </c>
      <c r="C45" s="30" t="s">
        <v>26</v>
      </c>
      <c r="D45" s="32">
        <v>16</v>
      </c>
      <c r="E45" s="56">
        <v>15.65</v>
      </c>
      <c r="F45" s="56">
        <f>D45*E45</f>
        <v>250.4</v>
      </c>
    </row>
    <row r="46" spans="1:11" s="36" customFormat="1" ht="47.25" x14ac:dyDescent="0.25">
      <c r="A46" s="57">
        <v>73467</v>
      </c>
      <c r="B46" s="31" t="s">
        <v>88</v>
      </c>
      <c r="C46" s="30" t="s">
        <v>9</v>
      </c>
      <c r="D46" s="32">
        <v>2</v>
      </c>
      <c r="E46" s="56">
        <v>122.66</v>
      </c>
      <c r="F46" s="56">
        <f t="shared" ref="F46:F47" si="8">D46*E46</f>
        <v>245.32</v>
      </c>
    </row>
    <row r="47" spans="1:11" s="36" customFormat="1" ht="37.9" customHeight="1" x14ac:dyDescent="0.25">
      <c r="A47" s="57">
        <v>5892</v>
      </c>
      <c r="B47" s="31" t="s">
        <v>89</v>
      </c>
      <c r="C47" s="30" t="s">
        <v>41</v>
      </c>
      <c r="D47" s="32">
        <v>8</v>
      </c>
      <c r="E47" s="56">
        <v>30.64</v>
      </c>
      <c r="F47" s="56">
        <f t="shared" si="8"/>
        <v>245.12</v>
      </c>
    </row>
    <row r="48" spans="1:11" s="29" customFormat="1" ht="15.75" x14ac:dyDescent="0.25">
      <c r="A48" s="25" t="s">
        <v>93</v>
      </c>
      <c r="B48" s="26" t="s">
        <v>90</v>
      </c>
      <c r="C48" s="25" t="s">
        <v>12</v>
      </c>
      <c r="D48" s="27"/>
      <c r="E48" s="59"/>
      <c r="F48" s="59">
        <f>SUM(F49:F51)</f>
        <v>740.84</v>
      </c>
    </row>
    <row r="49" spans="1:6" s="36" customFormat="1" ht="15.75" x14ac:dyDescent="0.25">
      <c r="A49" s="58">
        <v>88316</v>
      </c>
      <c r="B49" s="31" t="s">
        <v>38</v>
      </c>
      <c r="C49" s="30" t="s">
        <v>26</v>
      </c>
      <c r="D49" s="32">
        <v>16</v>
      </c>
      <c r="E49" s="56">
        <v>15.65</v>
      </c>
      <c r="F49" s="56">
        <f>D49*E49</f>
        <v>250.4</v>
      </c>
    </row>
    <row r="50" spans="1:6" s="36" customFormat="1" ht="47.25" x14ac:dyDescent="0.25">
      <c r="A50" s="57">
        <v>73467</v>
      </c>
      <c r="B50" s="31" t="s">
        <v>88</v>
      </c>
      <c r="C50" s="30" t="s">
        <v>9</v>
      </c>
      <c r="D50" s="32">
        <v>2</v>
      </c>
      <c r="E50" s="56">
        <v>122.66</v>
      </c>
      <c r="F50" s="56">
        <f t="shared" ref="F50:F51" si="9">D50*E50</f>
        <v>245.32</v>
      </c>
    </row>
    <row r="51" spans="1:6" s="36" customFormat="1" ht="31.5" x14ac:dyDescent="0.25">
      <c r="A51" s="57">
        <v>5892</v>
      </c>
      <c r="B51" s="31" t="s">
        <v>89</v>
      </c>
      <c r="C51" s="30" t="s">
        <v>41</v>
      </c>
      <c r="D51" s="32">
        <v>8</v>
      </c>
      <c r="E51" s="56">
        <v>30.64</v>
      </c>
      <c r="F51" s="56">
        <f t="shared" si="9"/>
        <v>245.12</v>
      </c>
    </row>
    <row r="52" spans="1:6" s="5" customFormat="1" ht="15.75" x14ac:dyDescent="0.25">
      <c r="A52" s="1" t="s">
        <v>113</v>
      </c>
      <c r="B52" s="68" t="s">
        <v>100</v>
      </c>
      <c r="C52" s="1" t="s">
        <v>12</v>
      </c>
      <c r="D52" s="3"/>
      <c r="E52" s="4"/>
      <c r="F52" s="4">
        <f>SUM(F53:F55)</f>
        <v>447.11</v>
      </c>
    </row>
    <row r="53" spans="1:6" s="49" customFormat="1" ht="47.25" x14ac:dyDescent="0.25">
      <c r="A53" s="60" t="s">
        <v>101</v>
      </c>
      <c r="B53" s="61" t="s">
        <v>102</v>
      </c>
      <c r="C53" s="62" t="s">
        <v>12</v>
      </c>
      <c r="D53" s="11">
        <v>1</v>
      </c>
      <c r="E53" s="12">
        <v>157.05000000000001</v>
      </c>
      <c r="F53" s="12">
        <f t="shared" ref="F53:F55" si="10">D53*E53</f>
        <v>157.05000000000001</v>
      </c>
    </row>
    <row r="54" spans="1:6" s="49" customFormat="1" ht="15.75" x14ac:dyDescent="0.25">
      <c r="A54" s="10" t="s">
        <v>103</v>
      </c>
      <c r="B54" s="61" t="s">
        <v>104</v>
      </c>
      <c r="C54" s="10" t="s">
        <v>0</v>
      </c>
      <c r="D54" s="11">
        <v>1</v>
      </c>
      <c r="E54" s="12">
        <v>233.94</v>
      </c>
      <c r="F54" s="12">
        <f t="shared" si="10"/>
        <v>233.94</v>
      </c>
    </row>
    <row r="55" spans="1:6" s="49" customFormat="1" ht="15.75" x14ac:dyDescent="0.25">
      <c r="A55" s="8">
        <v>90772</v>
      </c>
      <c r="B55" s="54" t="s">
        <v>105</v>
      </c>
      <c r="C55" s="10" t="s">
        <v>26</v>
      </c>
      <c r="D55" s="45">
        <v>4</v>
      </c>
      <c r="E55" s="12">
        <v>14.03</v>
      </c>
      <c r="F55" s="12">
        <f t="shared" si="10"/>
        <v>56.12</v>
      </c>
    </row>
    <row r="56" spans="1:6" s="49" customFormat="1" ht="15.75" x14ac:dyDescent="0.25">
      <c r="B56" s="63"/>
    </row>
    <row r="57" spans="1:6" s="5" customFormat="1" ht="31.5" x14ac:dyDescent="0.25">
      <c r="A57" s="42" t="s">
        <v>114</v>
      </c>
      <c r="B57" s="68" t="s">
        <v>99</v>
      </c>
      <c r="C57" s="1" t="s">
        <v>0</v>
      </c>
      <c r="D57" s="1"/>
      <c r="E57" s="69"/>
      <c r="F57" s="70">
        <f>SUM(F58:F64)</f>
        <v>316.05630000000002</v>
      </c>
    </row>
    <row r="58" spans="1:6" s="49" customFormat="1" ht="31.5" x14ac:dyDescent="0.25">
      <c r="A58" s="8">
        <v>4417</v>
      </c>
      <c r="B58" s="64" t="s">
        <v>106</v>
      </c>
      <c r="C58" s="10" t="s">
        <v>6</v>
      </c>
      <c r="D58" s="65">
        <v>1</v>
      </c>
      <c r="E58" s="66">
        <v>4.0999999999999996</v>
      </c>
      <c r="F58" s="67">
        <f>D58*E58</f>
        <v>4.0999999999999996</v>
      </c>
    </row>
    <row r="59" spans="1:6" s="49" customFormat="1" ht="31.5" x14ac:dyDescent="0.25">
      <c r="A59" s="8">
        <v>4491</v>
      </c>
      <c r="B59" s="64" t="s">
        <v>107</v>
      </c>
      <c r="C59" s="10" t="s">
        <v>6</v>
      </c>
      <c r="D59" s="65">
        <v>4</v>
      </c>
      <c r="E59" s="66">
        <v>8.14</v>
      </c>
      <c r="F59" s="67">
        <f t="shared" ref="F59:F64" si="11">D59*E59</f>
        <v>32.56</v>
      </c>
    </row>
    <row r="60" spans="1:6" s="49" customFormat="1" ht="31.5" x14ac:dyDescent="0.25">
      <c r="A60" s="8">
        <v>4813</v>
      </c>
      <c r="B60" s="64" t="s">
        <v>108</v>
      </c>
      <c r="C60" s="10" t="s">
        <v>43</v>
      </c>
      <c r="D60" s="65">
        <v>1</v>
      </c>
      <c r="E60" s="66">
        <v>225</v>
      </c>
      <c r="F60" s="67">
        <f t="shared" si="11"/>
        <v>225</v>
      </c>
    </row>
    <row r="61" spans="1:6" s="49" customFormat="1" ht="15.75" x14ac:dyDescent="0.25">
      <c r="A61" s="8">
        <v>5075</v>
      </c>
      <c r="B61" s="64" t="s">
        <v>109</v>
      </c>
      <c r="C61" s="10" t="s">
        <v>7</v>
      </c>
      <c r="D61" s="65">
        <v>0.11</v>
      </c>
      <c r="E61" s="66">
        <v>18</v>
      </c>
      <c r="F61" s="67">
        <f t="shared" si="11"/>
        <v>1.98</v>
      </c>
    </row>
    <row r="62" spans="1:6" s="49" customFormat="1" ht="15.75" x14ac:dyDescent="0.25">
      <c r="A62" s="8">
        <v>88262</v>
      </c>
      <c r="B62" s="64" t="s">
        <v>110</v>
      </c>
      <c r="C62" s="10" t="s">
        <v>26</v>
      </c>
      <c r="D62" s="65">
        <v>1</v>
      </c>
      <c r="E62" s="66">
        <v>19.649999999999999</v>
      </c>
      <c r="F62" s="67">
        <f t="shared" si="11"/>
        <v>19.649999999999999</v>
      </c>
    </row>
    <row r="63" spans="1:6" s="49" customFormat="1" ht="15.75" x14ac:dyDescent="0.25">
      <c r="A63" s="8">
        <v>88316</v>
      </c>
      <c r="B63" s="64" t="s">
        <v>38</v>
      </c>
      <c r="C63" s="10" t="s">
        <v>26</v>
      </c>
      <c r="D63" s="65">
        <v>2</v>
      </c>
      <c r="E63" s="66">
        <v>14.87</v>
      </c>
      <c r="F63" s="67">
        <f t="shared" si="11"/>
        <v>29.74</v>
      </c>
    </row>
    <row r="64" spans="1:6" s="49" customFormat="1" ht="31.5" x14ac:dyDescent="0.25">
      <c r="A64" s="8">
        <v>94962</v>
      </c>
      <c r="B64" s="64" t="s">
        <v>111</v>
      </c>
      <c r="C64" s="10" t="s">
        <v>112</v>
      </c>
      <c r="D64" s="65">
        <v>0.01</v>
      </c>
      <c r="E64" s="66">
        <v>302.63</v>
      </c>
      <c r="F64" s="67">
        <f t="shared" si="11"/>
        <v>3.0263</v>
      </c>
    </row>
    <row r="65" s="49" customFormat="1" ht="15.75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C15" sqref="C15"/>
    </sheetView>
  </sheetViews>
  <sheetFormatPr defaultRowHeight="12.75" x14ac:dyDescent="0.25"/>
  <cols>
    <col min="1" max="1" width="9.140625" style="79"/>
    <col min="2" max="2" width="14" style="79" bestFit="1" customWidth="1"/>
    <col min="3" max="3" width="58.140625" style="79" customWidth="1"/>
    <col min="4" max="4" width="9.140625" style="79"/>
    <col min="5" max="5" width="27.140625" style="79" bestFit="1" customWidth="1"/>
    <col min="6" max="6" width="18.5703125" style="79" customWidth="1"/>
    <col min="7" max="16384" width="9.140625" style="79"/>
  </cols>
  <sheetData>
    <row r="3" spans="1:6" ht="23.25" x14ac:dyDescent="0.25">
      <c r="A3" s="270" t="s">
        <v>123</v>
      </c>
      <c r="B3" s="270"/>
      <c r="C3" s="270"/>
      <c r="D3" s="270"/>
      <c r="E3" s="270"/>
      <c r="F3" s="270"/>
    </row>
    <row r="5" spans="1:6" ht="19.5" customHeight="1" x14ac:dyDescent="0.25">
      <c r="A5" s="80" t="s">
        <v>124</v>
      </c>
      <c r="B5" s="269" t="s">
        <v>125</v>
      </c>
      <c r="C5" s="269"/>
      <c r="D5" s="80"/>
    </row>
    <row r="6" spans="1:6" ht="19.5" customHeight="1" x14ac:dyDescent="0.25">
      <c r="A6" s="81" t="s">
        <v>62</v>
      </c>
      <c r="B6" s="82">
        <v>2707</v>
      </c>
      <c r="C6" s="82" t="s">
        <v>56</v>
      </c>
      <c r="D6" s="82" t="s">
        <v>26</v>
      </c>
      <c r="E6" s="79" t="s">
        <v>127</v>
      </c>
      <c r="F6" s="79" t="s">
        <v>128</v>
      </c>
    </row>
    <row r="7" spans="1:6" ht="19.5" customHeight="1" x14ac:dyDescent="0.25">
      <c r="A7" s="81" t="s">
        <v>63</v>
      </c>
      <c r="B7" s="82">
        <v>90776</v>
      </c>
      <c r="C7" s="82" t="s">
        <v>59</v>
      </c>
      <c r="D7" s="82" t="s">
        <v>26</v>
      </c>
      <c r="E7" s="79" t="s">
        <v>126</v>
      </c>
      <c r="F7" s="79" t="s">
        <v>129</v>
      </c>
    </row>
    <row r="9" spans="1:6" x14ac:dyDescent="0.25">
      <c r="A9" s="80" t="s">
        <v>119</v>
      </c>
      <c r="B9" s="80"/>
      <c r="C9" s="83" t="s">
        <v>115</v>
      </c>
    </row>
    <row r="10" spans="1:6" ht="21.75" customHeight="1" x14ac:dyDescent="0.25">
      <c r="A10" s="79" t="s">
        <v>64</v>
      </c>
      <c r="B10" s="84" t="s">
        <v>113</v>
      </c>
      <c r="C10" s="85" t="s">
        <v>98</v>
      </c>
      <c r="D10" s="86" t="s">
        <v>30</v>
      </c>
      <c r="E10" s="87" t="s">
        <v>130</v>
      </c>
      <c r="F10" s="79" t="s">
        <v>131</v>
      </c>
    </row>
    <row r="11" spans="1:6" ht="38.25" x14ac:dyDescent="0.25">
      <c r="A11" s="79" t="s">
        <v>94</v>
      </c>
      <c r="B11" s="88" t="s">
        <v>114</v>
      </c>
      <c r="C11" s="89" t="s">
        <v>99</v>
      </c>
      <c r="D11" s="88" t="s">
        <v>43</v>
      </c>
      <c r="E11" s="90" t="s">
        <v>133</v>
      </c>
      <c r="F11" s="79" t="s">
        <v>132</v>
      </c>
    </row>
    <row r="12" spans="1:6" ht="29.25" customHeight="1" x14ac:dyDescent="0.25">
      <c r="A12" s="79" t="s">
        <v>120</v>
      </c>
      <c r="B12" s="71">
        <v>97622</v>
      </c>
      <c r="C12" s="72" t="s">
        <v>122</v>
      </c>
      <c r="D12" s="71" t="s">
        <v>112</v>
      </c>
      <c r="E12" s="73" t="s">
        <v>134</v>
      </c>
    </row>
    <row r="13" spans="1:6" ht="21.75" customHeight="1" x14ac:dyDescent="0.25">
      <c r="A13" s="79" t="s">
        <v>121</v>
      </c>
      <c r="B13" s="71" t="s">
        <v>96</v>
      </c>
      <c r="C13" s="72" t="s">
        <v>97</v>
      </c>
      <c r="D13" s="71" t="s">
        <v>30</v>
      </c>
      <c r="E13" s="73"/>
    </row>
  </sheetData>
  <mergeCells count="2">
    <mergeCell ref="B5:C5"/>
    <mergeCell ref="A3:F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RESUMO</vt:lpstr>
      <vt:lpstr>PLAN. ORÇAMENTÁRIA</vt:lpstr>
      <vt:lpstr>COMP.</vt:lpstr>
      <vt:lpstr>Cronograma</vt:lpstr>
      <vt:lpstr>BDI</vt:lpstr>
      <vt:lpstr>Pintura</vt:lpstr>
      <vt:lpstr>Pedido do CT</vt:lpstr>
      <vt:lpstr>suporteComposições</vt:lpstr>
      <vt:lpstr>Mem. de Calculo</vt:lpstr>
      <vt:lpstr>BDI!Area_de_impressao</vt:lpstr>
      <vt:lpstr>Cronograma!Area_de_impressao</vt:lpstr>
      <vt:lpstr>'Pedido do CT'!Area_de_impressao</vt:lpstr>
      <vt:lpstr>'PLAN. ORÇAMENTÁRIA'!Area_de_impressao</vt:lpstr>
      <vt:lpstr>RESUMO!Area_de_impressao</vt:lpstr>
      <vt:lpstr>'PLAN. ORÇAMENTÁRIA'!Titulos_de_impressao</vt:lpstr>
      <vt:lpstr>RESUMO!Titulos_de_impressao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Adriano de Oliveira</dc:creator>
  <cp:lastModifiedBy>Jaderson Diego de Figueiredo</cp:lastModifiedBy>
  <cp:lastPrinted>2022-03-08T19:21:47Z</cp:lastPrinted>
  <dcterms:created xsi:type="dcterms:W3CDTF">2017-08-18T12:05:16Z</dcterms:created>
  <dcterms:modified xsi:type="dcterms:W3CDTF">2022-03-08T19:21:52Z</dcterms:modified>
</cp:coreProperties>
</file>