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tor.Oliveira\Downloads\"/>
    </mc:Choice>
  </mc:AlternateContent>
  <bookViews>
    <workbookView xWindow="0" yWindow="0" windowWidth="28800" windowHeight="12432" tabRatio="807"/>
  </bookViews>
  <sheets>
    <sheet name="P. Referência" sheetId="17" r:id="rId1"/>
    <sheet name="Composições" sheetId="18" r:id="rId2"/>
    <sheet name="Cronograma" sheetId="21" r:id="rId3"/>
    <sheet name="BDI" sheetId="20" r:id="rId4"/>
    <sheet name="Quantitativos" sheetId="19" r:id="rId5"/>
  </sheets>
  <externalReferences>
    <externalReference r:id="rId6"/>
    <externalReference r:id="rId7"/>
    <externalReference r:id="rId8"/>
  </externalReferences>
  <definedNames>
    <definedName name="_xlnm.Print_Area" localSheetId="3">BDI!$A$1:$G$32</definedName>
    <definedName name="_xlnm.Print_Area" localSheetId="0">'P. Referência'!$B$2:$I$83</definedName>
    <definedName name="_xlnm.Print_Titles" localSheetId="0">'P. Referência'!$2:$7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0" l="1"/>
  <c r="G13" i="21" l="1"/>
  <c r="G14" i="21"/>
  <c r="G15" i="21"/>
  <c r="G16" i="21"/>
  <c r="G17" i="21"/>
  <c r="G18" i="21"/>
  <c r="G19" i="21"/>
  <c r="G20" i="21"/>
  <c r="B20" i="21"/>
  <c r="A20" i="21"/>
  <c r="G21" i="21" s="1"/>
  <c r="B19" i="21"/>
  <c r="A19" i="21"/>
  <c r="B18" i="21"/>
  <c r="A18" i="21"/>
  <c r="B17" i="21"/>
  <c r="A17" i="21"/>
  <c r="B16" i="21"/>
  <c r="A16" i="21"/>
  <c r="B15" i="21"/>
  <c r="A15" i="21"/>
  <c r="B14" i="21"/>
  <c r="A14" i="21"/>
  <c r="B13" i="21"/>
  <c r="A13" i="21"/>
  <c r="B12" i="21"/>
  <c r="A12" i="21"/>
  <c r="G12" i="21"/>
  <c r="G8" i="21"/>
  <c r="K22" i="20"/>
  <c r="K21" i="20"/>
  <c r="K20" i="20"/>
  <c r="K19" i="20"/>
  <c r="K18" i="20" s="1"/>
  <c r="G18" i="20"/>
  <c r="K17" i="20"/>
  <c r="G16" i="20"/>
  <c r="K15" i="20"/>
  <c r="K14" i="20"/>
  <c r="K13" i="20"/>
  <c r="K12" i="20"/>
  <c r="G11" i="20"/>
  <c r="F8" i="20"/>
  <c r="F6" i="20"/>
  <c r="K24" i="20" l="1"/>
  <c r="G25" i="20"/>
  <c r="G8" i="20" s="1"/>
  <c r="D21" i="21"/>
  <c r="E94" i="18" l="1"/>
  <c r="E89" i="18"/>
  <c r="E82" i="18"/>
  <c r="F36" i="17"/>
  <c r="F72" i="17"/>
  <c r="F73" i="17"/>
  <c r="H72" i="17"/>
  <c r="I72" i="17" s="1"/>
  <c r="H73" i="17"/>
  <c r="I73" i="17" l="1"/>
  <c r="H71" i="17"/>
  <c r="I71" i="17" s="1"/>
  <c r="H67" i="17"/>
  <c r="I67" i="17" s="1"/>
  <c r="H68" i="17"/>
  <c r="I68" i="17" s="1"/>
  <c r="H69" i="17"/>
  <c r="I69" i="17" s="1"/>
  <c r="H70" i="17"/>
  <c r="I70" i="17" s="1"/>
  <c r="H66" i="17"/>
  <c r="I66" i="17" s="1"/>
  <c r="D62" i="18"/>
  <c r="F42" i="17"/>
  <c r="F84" i="18"/>
  <c r="F83" i="18"/>
  <c r="F82" i="18"/>
  <c r="E50" i="17"/>
  <c r="H48" i="17"/>
  <c r="I48" i="17" s="1"/>
  <c r="H46" i="17"/>
  <c r="I46" i="17" s="1"/>
  <c r="H45" i="17"/>
  <c r="I45" i="17" s="1"/>
  <c r="H44" i="17"/>
  <c r="I44" i="17" s="1"/>
  <c r="H43" i="17"/>
  <c r="I43" i="17" s="1"/>
  <c r="F89" i="18"/>
  <c r="F88" i="18"/>
  <c r="F87" i="18"/>
  <c r="F86" i="18"/>
  <c r="F94" i="18"/>
  <c r="F93" i="18"/>
  <c r="F92" i="18"/>
  <c r="F91" i="18"/>
  <c r="F80" i="18"/>
  <c r="F79" i="18"/>
  <c r="I74" i="17" l="1"/>
  <c r="C19" i="21" s="1"/>
  <c r="E19" i="21" s="1"/>
  <c r="H19" i="21" s="1"/>
  <c r="F81" i="18"/>
  <c r="F78" i="18"/>
  <c r="F90" i="18"/>
  <c r="F85" i="18"/>
  <c r="G47" i="17" l="1"/>
  <c r="H47" i="17" s="1"/>
  <c r="I47" i="17" s="1"/>
  <c r="G42" i="17"/>
  <c r="H42" i="17" s="1"/>
  <c r="I42" i="17" s="1"/>
  <c r="G50" i="17"/>
  <c r="H50" i="17" s="1"/>
  <c r="I50" i="17" s="1"/>
  <c r="G49" i="17"/>
  <c r="H49" i="17" s="1"/>
  <c r="I49" i="17" s="1"/>
  <c r="I51" i="17" l="1"/>
  <c r="C17" i="21" s="1"/>
  <c r="E17" i="21" s="1"/>
  <c r="H17" i="21" s="1"/>
  <c r="F38" i="17" l="1"/>
  <c r="F37" i="17"/>
  <c r="H37" i="17"/>
  <c r="I37" i="17" s="1"/>
  <c r="H38" i="17"/>
  <c r="I38" i="17" s="1"/>
  <c r="F77" i="18"/>
  <c r="F76" i="18"/>
  <c r="F75" i="18" s="1"/>
  <c r="G36" i="17" s="1"/>
  <c r="H26" i="17"/>
  <c r="I26" i="17" s="1"/>
  <c r="H28" i="17"/>
  <c r="I28" i="17" s="1"/>
  <c r="H29" i="17"/>
  <c r="I29" i="17" s="1"/>
  <c r="H30" i="17"/>
  <c r="I30" i="17" s="1"/>
  <c r="H32" i="17"/>
  <c r="F25" i="17"/>
  <c r="D9" i="19"/>
  <c r="D10" i="19"/>
  <c r="F74" i="18"/>
  <c r="F73" i="18"/>
  <c r="F72" i="18"/>
  <c r="F71" i="18"/>
  <c r="F70" i="18"/>
  <c r="F69" i="18"/>
  <c r="F68" i="18"/>
  <c r="F67" i="18"/>
  <c r="F66" i="18"/>
  <c r="F65" i="18" l="1"/>
  <c r="H36" i="17"/>
  <c r="I36" i="17" s="1"/>
  <c r="G31" i="17" l="1"/>
  <c r="H31" i="17" s="1"/>
  <c r="I31" i="17" s="1"/>
  <c r="I39" i="17"/>
  <c r="C16" i="21" s="1"/>
  <c r="E16" i="21" s="1"/>
  <c r="H16" i="21" s="1"/>
  <c r="H10" i="17" l="1"/>
  <c r="H9" i="17"/>
  <c r="I9" i="17" l="1"/>
  <c r="I10" i="17"/>
  <c r="I11" i="17" l="1"/>
  <c r="C12" i="21" s="1"/>
  <c r="E12" i="21" s="1"/>
  <c r="H12" i="21" s="1"/>
  <c r="D79" i="17"/>
  <c r="F57" i="18"/>
  <c r="F58" i="18"/>
  <c r="F56" i="18"/>
  <c r="F55" i="18"/>
  <c r="H57" i="17"/>
  <c r="I57" i="17" s="1"/>
  <c r="H58" i="17"/>
  <c r="I58" i="17" s="1"/>
  <c r="H59" i="17"/>
  <c r="I59" i="17" s="1"/>
  <c r="H61" i="17"/>
  <c r="I61" i="17" s="1"/>
  <c r="H60" i="17"/>
  <c r="I60" i="17" s="1"/>
  <c r="H56" i="17"/>
  <c r="I56" i="17" s="1"/>
  <c r="H55" i="17"/>
  <c r="I55" i="17" s="1"/>
  <c r="H54" i="17"/>
  <c r="I54" i="17" s="1"/>
  <c r="H16" i="17"/>
  <c r="I16" i="17" s="1"/>
  <c r="F32" i="17"/>
  <c r="I32" i="17" s="1"/>
  <c r="F27" i="17"/>
  <c r="F39" i="18"/>
  <c r="F38" i="18"/>
  <c r="F54" i="18" l="1"/>
  <c r="G79" i="17" s="1"/>
  <c r="F37" i="18"/>
  <c r="G62" i="17" l="1"/>
  <c r="H62" i="17" s="1"/>
  <c r="I62" i="17" s="1"/>
  <c r="I63" i="17" s="1"/>
  <c r="C18" i="21" s="1"/>
  <c r="E18" i="21" s="1"/>
  <c r="H18" i="21" s="1"/>
  <c r="H79" i="17"/>
  <c r="I79" i="17" s="1"/>
  <c r="F36" i="18"/>
  <c r="F35" i="18"/>
  <c r="F46" i="18"/>
  <c r="F47" i="18"/>
  <c r="F48" i="18"/>
  <c r="F49" i="18"/>
  <c r="F50" i="18"/>
  <c r="F51" i="18"/>
  <c r="F52" i="18"/>
  <c r="F53" i="18"/>
  <c r="F45" i="18"/>
  <c r="F44" i="18"/>
  <c r="F42" i="18"/>
  <c r="F41" i="18"/>
  <c r="D27" i="17"/>
  <c r="D25" i="17"/>
  <c r="F23" i="18"/>
  <c r="F22" i="18"/>
  <c r="F26" i="18"/>
  <c r="F27" i="18"/>
  <c r="F28" i="18"/>
  <c r="F29" i="18"/>
  <c r="F30" i="18"/>
  <c r="F31" i="18"/>
  <c r="F25" i="18"/>
  <c r="F34" i="18"/>
  <c r="F33" i="18"/>
  <c r="F21" i="18" l="1"/>
  <c r="G25" i="17" s="1"/>
  <c r="H25" i="17" s="1"/>
  <c r="I25" i="17" s="1"/>
  <c r="F24" i="18"/>
  <c r="F32" i="18"/>
  <c r="F43" i="18"/>
  <c r="G78" i="17" s="1"/>
  <c r="F40" i="18"/>
  <c r="G77" i="17" s="1"/>
  <c r="G27" i="17" l="1"/>
  <c r="H27" i="17" s="1"/>
  <c r="I27" i="17" s="1"/>
  <c r="H77" i="17"/>
  <c r="I77" i="17" s="1"/>
  <c r="H78" i="17"/>
  <c r="I78" i="17" s="1"/>
  <c r="F20" i="18" l="1"/>
  <c r="F19" i="18"/>
  <c r="F18" i="18"/>
  <c r="F16" i="18"/>
  <c r="F15" i="18"/>
  <c r="F14" i="18"/>
  <c r="F12" i="18"/>
  <c r="F11" i="18"/>
  <c r="F10" i="18"/>
  <c r="F9" i="18"/>
  <c r="F8" i="18"/>
  <c r="F7" i="18"/>
  <c r="F5" i="18"/>
  <c r="F4" i="18"/>
  <c r="F3" i="18"/>
  <c r="F2" i="18" s="1"/>
  <c r="G14" i="17" s="1"/>
  <c r="H14" i="17" l="1"/>
  <c r="I14" i="17" s="1"/>
  <c r="F17" i="18"/>
  <c r="G21" i="17" s="1"/>
  <c r="H21" i="17" s="1"/>
  <c r="I21" i="17" s="1"/>
  <c r="F13" i="18"/>
  <c r="G20" i="17" s="1"/>
  <c r="H20" i="17" s="1"/>
  <c r="I20" i="17" s="1"/>
  <c r="F6" i="18"/>
  <c r="G15" i="17" s="1"/>
  <c r="H15" i="17" s="1"/>
  <c r="I15" i="17" s="1"/>
  <c r="F63" i="18" l="1"/>
  <c r="F62" i="18"/>
  <c r="F61" i="18"/>
  <c r="F60" i="18"/>
  <c r="F59" i="18" l="1"/>
  <c r="G80" i="17" l="1"/>
  <c r="H80" i="17" s="1"/>
  <c r="I80" i="17" s="1"/>
  <c r="I81" i="17" s="1"/>
  <c r="C20" i="21" s="1"/>
  <c r="E20" i="21" s="1"/>
  <c r="H20" i="21" s="1"/>
  <c r="I17" i="17"/>
  <c r="C13" i="21" s="1"/>
  <c r="E13" i="21" l="1"/>
  <c r="I22" i="17"/>
  <c r="C14" i="21" s="1"/>
  <c r="E14" i="21" s="1"/>
  <c r="H14" i="21" s="1"/>
  <c r="H13" i="21" l="1"/>
  <c r="I33" i="17"/>
  <c r="I83" i="17" l="1"/>
  <c r="C15" i="21"/>
  <c r="E15" i="21" l="1"/>
  <c r="C21" i="21"/>
  <c r="H15" i="21" l="1"/>
  <c r="H21" i="21" s="1"/>
  <c r="E21" i="21"/>
  <c r="E22" i="21" l="1"/>
  <c r="F21" i="21"/>
  <c r="F22" i="21" s="1"/>
</calcChain>
</file>

<file path=xl/comments1.xml><?xml version="1.0" encoding="utf-8"?>
<comments xmlns="http://schemas.openxmlformats.org/spreadsheetml/2006/main">
  <authors>
    <author>Caroline Castilho dos Santos</author>
  </authors>
  <commentList>
    <comment ref="F9" authorId="0" shapeId="0">
      <text>
        <r>
          <rPr>
            <sz val="9"/>
            <color indexed="81"/>
            <rFont val="Segoe UI"/>
            <family val="2"/>
          </rPr>
          <t xml:space="preserve">2h/dia, 3x/semana,
1 mês de obra
</t>
        </r>
      </text>
    </comment>
    <comment ref="F10" authorId="0" shapeId="0">
      <text>
        <r>
          <rPr>
            <b/>
            <sz val="9"/>
            <color indexed="81"/>
            <rFont val="Segoe UI"/>
            <family val="2"/>
          </rPr>
          <t>4h/dia, 5x/semana
1 mês de obra.</t>
        </r>
      </text>
    </comment>
  </commentList>
</comments>
</file>

<file path=xl/sharedStrings.xml><?xml version="1.0" encoding="utf-8"?>
<sst xmlns="http://schemas.openxmlformats.org/spreadsheetml/2006/main" count="480" uniqueCount="278">
  <si>
    <t>M²</t>
  </si>
  <si>
    <t>SUBTOTAL</t>
  </si>
  <si>
    <t>Item</t>
  </si>
  <si>
    <t>Descrição</t>
  </si>
  <si>
    <t>Und.</t>
  </si>
  <si>
    <t>Valor Total</t>
  </si>
  <si>
    <t>M</t>
  </si>
  <si>
    <t>KG</t>
  </si>
  <si>
    <t>Código SINAPI</t>
  </si>
  <si>
    <t>CHP</t>
  </si>
  <si>
    <t>Composição 01</t>
  </si>
  <si>
    <t>Composição 02</t>
  </si>
  <si>
    <t>Und</t>
  </si>
  <si>
    <t>Composição 04</t>
  </si>
  <si>
    <t>Composição 05</t>
  </si>
  <si>
    <t>Composição 06</t>
  </si>
  <si>
    <t>CALHA EM CHAPA DE AÇO GALVANIZADO NÚMERO 24, DESENVOLVIMENTO DE 50 CM, INCLUSO TRANSPORTE VERTICAL. AF_06/2016.</t>
  </si>
  <si>
    <t>RUFO EM CHAPA DE AÇO GALVANIZO NÚMERO 24, CORTE DE 25CM, INCLUSO TRANSPORTE VERTICAL. AF_06/2016.</t>
  </si>
  <si>
    <t xml:space="preserve">Descrição                               </t>
  </si>
  <si>
    <t>Unidade</t>
  </si>
  <si>
    <t>Coeficiente</t>
  </si>
  <si>
    <t>Preço Unitario</t>
  </si>
  <si>
    <t>Preço total</t>
  </si>
  <si>
    <t>H</t>
  </si>
  <si>
    <t>UND</t>
  </si>
  <si>
    <t>SELANTE ELASTICO MONOCOMPONENTE A BASE DE POLIURETANO PARA JUNTAS DIVERSAS</t>
  </si>
  <si>
    <t>310ML</t>
  </si>
  <si>
    <t>SERVENTE COM ENCARGOS COMPLEMENTARES</t>
  </si>
  <si>
    <t>TELHADISTA COM ENCARGOS COMPLEMENTARES</t>
  </si>
  <si>
    <t>GUINCHO ELÉTRICO DE COLUNA, CAPACIDADE 400 KG, COM MOTO FREIO, MOTOR TRIFÁSICO DE 1,25 CV - CHI DIURNO. AF_03/2016</t>
  </si>
  <si>
    <t>CHI</t>
  </si>
  <si>
    <t>Composição 2</t>
  </si>
  <si>
    <t>M2</t>
  </si>
  <si>
    <t>ADMINISTRAÇÃO DA OBRA</t>
  </si>
  <si>
    <t>Quant.</t>
  </si>
  <si>
    <t>ENCARREGADO GERAL COM ENCARGOS COMPLEMENTARES</t>
  </si>
  <si>
    <t>Valor Unit.</t>
  </si>
  <si>
    <t>3.2</t>
  </si>
  <si>
    <t>1.2</t>
  </si>
  <si>
    <t>2.1</t>
  </si>
  <si>
    <t>3.1</t>
  </si>
  <si>
    <t>4.1</t>
  </si>
  <si>
    <t>6.1</t>
  </si>
  <si>
    <t>6.2</t>
  </si>
  <si>
    <t>6.4</t>
  </si>
  <si>
    <t>Composição 07</t>
  </si>
  <si>
    <t>REMOÇÃO DE RUFO, CALHAS E PINGADEIRA SEM REAPROVEITAMENTO</t>
  </si>
  <si>
    <t>Composição 08</t>
  </si>
  <si>
    <t>MOBILIZAÇÃO E DESMOBILIZAÇÃO DE OBRA</t>
  </si>
  <si>
    <t>MOBILIZAÇÃO DE OBRA</t>
  </si>
  <si>
    <t>CAMINHÃO TOCO, PBT 14.300 KG, CARGA ÚTIL MÁX. 9.710 KG, DIST. ENTRE EIXOS 3,56 M, POTÊNCIA 185 CV, INCLUSIVE CARROCERIA FIXA ABERTA DE MADEIRA P/ TRANSPORTE GERAL DE CARGA SECA, DIMEN. APROX. 2,50 X 6,50 X 0,50 M - CHP DIURNO. AF_06/2014</t>
  </si>
  <si>
    <t>CAMINHÃO TOCO, PESO BRUTO TOTAL 14.300 KG, CARGA ÚTIL MÁXIMA 9590 KG, DISTÂNCIA ENTRE EIXOS 4,76 M, POTÊNCIA 185 CV (NÃO INCLUI CARROCERIA) - CHI DIURNO. AF_06/2014</t>
  </si>
  <si>
    <t>DESMOBILIZAÇÃO DE OBRA</t>
  </si>
  <si>
    <t>Composição 09</t>
  </si>
  <si>
    <t>Composição 10</t>
  </si>
  <si>
    <t>Composição 11</t>
  </si>
  <si>
    <t>2.2</t>
  </si>
  <si>
    <t>Cotação 01</t>
  </si>
  <si>
    <t>LOCAÇÃO DE CAÇAMBA TIPO BOTA-FORA</t>
  </si>
  <si>
    <t>EMISSÃO DE CUSTEIO DE ALVARA E REGISTROS</t>
  </si>
  <si>
    <t>PLACA DE OBRA (PARA CONSTRUÇÃO CIVIL) EM CHAPA GALVANIZADA, ADESIVADA FIXA EM ESTRUTURA DE MADEIRA.</t>
  </si>
  <si>
    <t>EMISSÃO E CUSTEIO DE ALVARÁ E REGISTROS</t>
  </si>
  <si>
    <t>ALVARÁ DE OBRA</t>
  </si>
  <si>
    <t>Cotação - CREA MT</t>
  </si>
  <si>
    <t>AUXILIAR DE ESCRITORIO COM ENCARGOS COMPLEMENTARES</t>
  </si>
  <si>
    <t>SARRAFO DE MADEIRA NAO APARELHADA *2,5 X 7* CM, MACARANDUBA, ANGELIM OU EQUIVALENTE DA REGIAO</t>
  </si>
  <si>
    <t>PONTALETE DE MADEIRA NAO APARELHADA *7,5 X 7,5* CM (3 X 3 ") PINUS, MISTA OU EQUIVALENTE DA REGIAO</t>
  </si>
  <si>
    <t>PLACA DE OBRA (PARA CONSTRUCAO CIVIL) EM CHAPA GALVANIZADA *N. 22*, ADESIVADA, DE *2,0 X 1,125* M</t>
  </si>
  <si>
    <t>PREGO DE ACO POLIDO COM CABECA 18 X 30 (2 3/4 X 10)</t>
  </si>
  <si>
    <t>CARPINTEIRO DE FORMAS COM ENCARGOS COMPLEMENTARES</t>
  </si>
  <si>
    <t>Composição 12</t>
  </si>
  <si>
    <t>SERVIÇOS PRELIMINARES</t>
  </si>
  <si>
    <t>Composição 4</t>
  </si>
  <si>
    <t>Composição 03</t>
  </si>
  <si>
    <t>4.2</t>
  </si>
  <si>
    <t>PEDREIRO COM ENCARGOS COMPLEMENTARES</t>
  </si>
  <si>
    <t>FORRO EM DRYWALL, PARA AMBIENTES COMERCIAIS, INCLUSIVE ESTRUTURA DE FIXAÇÃO. AF_05/2017_P</t>
  </si>
  <si>
    <t>Composição 5</t>
  </si>
  <si>
    <t>Composição 3</t>
  </si>
  <si>
    <t>LIMPEZA FINAL</t>
  </si>
  <si>
    <t>LIMPEZA DE PISO CERÂMICO OU PORCELANATO COM PANO ÚMIDO. AF_04/2019</t>
  </si>
  <si>
    <t>LIMPEZA DE REVESTIMENTO CERÂMICO EM PAREDE COM PANO ÚMIDO AF_04/2019</t>
  </si>
  <si>
    <t>LIMPEZA DE SUPERFÍCIE COM JATO DE ALTA PRESSÃO. AF_04/2019</t>
  </si>
  <si>
    <t>LIMPEZA DE PORTA DE MADEIRA. AF_04/2019</t>
  </si>
  <si>
    <t>SERVIÇOS COMPLEMENTARES</t>
  </si>
  <si>
    <t>88316</t>
  </si>
  <si>
    <t>2.3</t>
  </si>
  <si>
    <t>4.4</t>
  </si>
  <si>
    <t>4.5</t>
  </si>
  <si>
    <t>4.6</t>
  </si>
  <si>
    <t>6.3</t>
  </si>
  <si>
    <t>TOTAL</t>
  </si>
  <si>
    <t>FORRO</t>
  </si>
  <si>
    <t>Cotação - Tabela 2021 Prefeitura de Cuiabá item 136</t>
  </si>
  <si>
    <t>ART/CREA DE EXECUÇÃO - AREA ATÉ 15.000 R$</t>
  </si>
  <si>
    <t>Área</t>
  </si>
  <si>
    <t>INSTALAÇÕES HIDRÁULICAS</t>
  </si>
  <si>
    <t>CURVA 90 GRAUS, PVC, SOLDÁVEL, DN 50MM, INSTALADO EM PRUMADA DE ÁGUA - FORNECIMENTO E INSTALAÇÃO. AF_12/2014</t>
  </si>
  <si>
    <t>REMOÇÃO DE BASE DE MADEIRA DA CAIXA D'AGUA</t>
  </si>
  <si>
    <t>1.1</t>
  </si>
  <si>
    <t>APARELHO PARA CORTE E SOLDA OXI-ACETILENO SOBRE RODAS, INCLUSIVE CILINDROS E MAÇARICOS - CHP DIURNO. AF_12/2015</t>
  </si>
  <si>
    <t>APARELHO PARA CORTE E SOLDA OXI-ACETILENO SOBRE RODAS, INCLUSIVE CILINDROS E MAÇARICOS - CHI DIURNO. AF_12/2015</t>
  </si>
  <si>
    <t>CONJUNTO ARRUELAS DE VEDACAO 5/16" PARA TELHA FIBROCIMENTO (UMA ARRUELA METALICA E UMA ARRUELA PVC - CONICAS)</t>
  </si>
  <si>
    <t>CJ</t>
  </si>
  <si>
    <t>FIXADOR DE ABA SIMPLES PARA TELHA DE FIBROCIMENTO, TIPO CANALETA 90 OU KALHETAO</t>
  </si>
  <si>
    <t>UN</t>
  </si>
  <si>
    <t>GANCHO CHATO EM FERRO GALVANIZADO,  L = 110 MM, RECOBRIMENTO = 100MM, SECAO 1/8 X 1/2" (3 MM X 12 MM), PARA FIXAR TELHA DE FIBROCIMENTO ONDULADA</t>
  </si>
  <si>
    <t>GUINCHO ELÉTRICO DE COLUNA, CAPACIDADE 400 KG, COM MOTO FREIO, MOTOR TRIFÁSICO DE 1,25 CV - CHP DIURNO. AF_03/2016</t>
  </si>
  <si>
    <t xml:space="preserve">RETIRADA E RECOLOCAÇÃO DE TELHAS METÁLICAS </t>
  </si>
  <si>
    <t xml:space="preserve">RETIRADA E RECOLOCAÇÃO DE TRAMA METÁLICA </t>
  </si>
  <si>
    <t>Composição 7</t>
  </si>
  <si>
    <t>REMOÇÃO MANUAL DA BASE DE MADEIRA DA CAIXA D'AGUA</t>
  </si>
  <si>
    <t>88262</t>
  </si>
  <si>
    <t>SARRAFO NAO APARELHADO *2,5 X 7* CM, EM MACARANDUBA, ANGELIM OU EQUIVALENTE DA REGIAO -  BRUTA</t>
  </si>
  <si>
    <t>CAIBRO NAO APARELHADO  *7,5 X 7,5* CM, EM MACARANDUBA, ANGELIM OU EQUIVALENTE DA REGIAO -  BRUTA</t>
  </si>
  <si>
    <t>PREGO DE ACO POLIDO COM CABECA 17 X 21 (2 X 11)</t>
  </si>
  <si>
    <t>AJUDANTE DE CARPINTEIRO COM ENCARGOS COMPLEMENTARES</t>
  </si>
  <si>
    <t>SERRA CIRCULAR DE BANCADA COM MOTOR ELÉTRICO POTÊNCIA DE 5HP, COM COIFA PARA DISCO 10" - CHP DIURNO. AF_08/2015</t>
  </si>
  <si>
    <t>SERRA CIRCULAR DE BANCADA COM MOTOR ELÉTRICO POTÊNCIA DE 5HP, COM COIFA PARA DISCO 10" - CHI DIURNO. AF_08/2015</t>
  </si>
  <si>
    <t>MANUTENÇÃO NO MICTÓRIO DO BANHEIRO MASCULINO</t>
  </si>
  <si>
    <t>AUXILIAR DE ENCANADOR OU BOMBEIRO HIDRÁULICO COM ENCARGOS COMPLEMENTARES</t>
  </si>
  <si>
    <t>ENCANADOR OU BOMBEIRO HIDRÁULICO COM ENCARGOS COMPLEMENTARES</t>
  </si>
  <si>
    <t>REFORMA NAC</t>
  </si>
  <si>
    <t>COBERTURA</t>
  </si>
  <si>
    <t>TELHAS</t>
  </si>
  <si>
    <t>TRAMA</t>
  </si>
  <si>
    <t>Valor Unitário C/ BDI 28,35%</t>
  </si>
  <si>
    <t>REGISTRO DE GAVETA BRUTO, LATÃO, ROSCÁVEL, 1 1/2" - FORNECIMENTO E INSTALAÇÃO. AF_08/2021</t>
  </si>
  <si>
    <t>CAIXA D´ÁGUA EM POLIETILENO, 2000 LITROS - FORNECIMENTO E INSTALAÇÃO. AF_06/2021</t>
  </si>
  <si>
    <t>ADAPTADOR COM FLANGE E ANEL DE VEDAÇÃO, PVC, SOLDÁVEL, DN 50 MM X 1 1/2 , INSTALADO EM RESERVAÇÃO DE ÁGUA DE EDIFICAÇÃO QUE POSSUA RESERVATÓRIO DE FIBRA/FIBROCIMENTO   FORNECIMENTO E INSTALAÇÃO. AF_06/2016</t>
  </si>
  <si>
    <t>ADAPTADOR CURTO COM BOLSA E ROSCA PARA REGISTRO, PVC, SOLDÁVEL, DN 50 MM X 1 1/2 , INSTALADO EM RESERVAÇÃO DE ÁGUA DE EDIFICAÇÃO QUE POSSUA RESERVATÓRIO DE FIBRA/FIBROCIMENTO   FORNECIMENTO E INSTALAÇÃO. AF_06/2016</t>
  </si>
  <si>
    <t>BUCHA DE REDUCAO DE PVC, SOLDAVEL, LONGA, COM 50 X 25 MM, PARA AGUA FRIA PREDIAL</t>
  </si>
  <si>
    <t>5.1</t>
  </si>
  <si>
    <t>5.2</t>
  </si>
  <si>
    <t>5.3</t>
  </si>
  <si>
    <t>Composição 8</t>
  </si>
  <si>
    <t>Composição 9</t>
  </si>
  <si>
    <t>BUCHA DE NYLON SEM ABA S10, COM PARAFUSO DE 6,10 X 65 MM EM ACO ZINCADO COM ROSCA SOBERBA, CABECA CHATA E FENDA PHILLIPS</t>
  </si>
  <si>
    <t>MANUTENÇÃO PORTINHOLA DE ALUMÍNIO DE ABRIR</t>
  </si>
  <si>
    <t>REMOÇÃO DE TELHAS, DE FIBROCIMENTO, METÁLICA E CERÂMICA, DE FORMA MANUAL, SEM REAPROVEITAMENTO. AF_12/2017</t>
  </si>
  <si>
    <t>TELHAMENTO COM TELHA ONDULADA DE FIBROCIMENTO E = 6 MM, COM RECOBRIMENTO LATERAL DE 1 1/4 DE ONDA PARA TELHADO COM INCLINAÇÃO MÁXIMA DE 10°, COM ATÉ 2 ÁGUAS, INCLUSO IÇAMENTO. AF_07/2019</t>
  </si>
  <si>
    <t>TABUA APARELHADA *2,5 X 30* CM, EM MACARANDUBA, ANGELIM OU EQUIVALENTE DA REGIAO</t>
  </si>
  <si>
    <t>4.7</t>
  </si>
  <si>
    <t>4.8</t>
  </si>
  <si>
    <t>Planilha de Referência Orçamentária
Núcleo Avançado de Capacitação - POCONÉ</t>
  </si>
  <si>
    <t>4.3</t>
  </si>
  <si>
    <t>PINGADEIRA EM CHAPA DE AÇO GALVANIZADO NÚMERO 24, INCLUSO TRANSPORTE VERTICAL.</t>
  </si>
  <si>
    <t>Pingadeira em chapa de aço galvanizo número 24,incluso transporte vertical.</t>
  </si>
  <si>
    <t>SELANTE ELASTICO MONOCOMPONENTE A BASE DE POLIURETANO (PU) PARA JUNTAS DIVERSAS</t>
  </si>
  <si>
    <t>PREGO DE ACO POLIDO COM CABECA 18 X 27 (2 1/2 X 10)</t>
  </si>
  <si>
    <t>REBITE DE ALUMINIO VAZADO DE REPUXO, 3,2 X 8 MM (1KG = 1025 UNIDADES)</t>
  </si>
  <si>
    <t>SOLDA EM BARRA DE ESTANHO-CHUMBO 50/50</t>
  </si>
  <si>
    <t>RUFO INTERNO/EXTERNO DE CHAPA DE ACO GALVANIZADA NUM 24, CORTE 25 CM</t>
  </si>
  <si>
    <t xml:space="preserve">RUFO </t>
  </si>
  <si>
    <t>PINGADEIRA</t>
  </si>
  <si>
    <t>CALHA</t>
  </si>
  <si>
    <t>REVETIMENTO DE PAREDE</t>
  </si>
  <si>
    <t>CHAPISCO APLICADO EM ALVENARIA (SEM PRESENÇA DE VÃOS) E ESTRUTURAS DE CONCRETO DE FACHADA, COM COLHER DE PEDREIRO. ARGAMASSA TRAÇO 1:3 COM PREPARO MANUAL. AF_06/2014.</t>
  </si>
  <si>
    <t>SERVIÇO DE EMBOÇO/MASSA ÚNICA, APLICADO MANUALMENTE, TRAÇO 1:2:8, EM BETONEIRA DE 400L, PAREDES INTERNAS, COM EXECUÇÃO DE TALISCAS, EDIFICAÇÃO HABITACIONAL UNIFAMILIAR (CASAS) E EDIFICAÇÃO PÚBLICA PADRÃO.</t>
  </si>
  <si>
    <t>REMOÇÃO MANUAL DE EMBOÇO/MASSA ÚNICA.</t>
  </si>
  <si>
    <t>Composição 13</t>
  </si>
  <si>
    <t>Composição 14</t>
  </si>
  <si>
    <t>REMOÇÃO DE EMBOÇO/MASSA ÚNICA</t>
  </si>
  <si>
    <t xml:space="preserve">ENGENHEIRO CIVIL DE OBRA JUNIOR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</si>
  <si>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REMOÇÃO DE PINTURA INTERNA E EXTERNA</t>
  </si>
  <si>
    <t>APLICAÇÃO DE FUNDO SELADOR ACRÍLICO EM PAREDES, UMA DEMÃO. AF_06/2014.</t>
  </si>
  <si>
    <t>APLICAÇÃO E LIXAMENTO DE MASSA LÁTEX EM TETO, DUAS DEMÃOS. AF_06/2014.</t>
  </si>
  <si>
    <t>APLICAÇÃO E LIXAMENTO DE MASSA LÁTEX EM PAREDES, DUAS DEMÃOS. AF_06/2014.</t>
  </si>
  <si>
    <t>6.5</t>
  </si>
  <si>
    <t>TEXTURA ACRÍLICA, APLICAÇÃO MANUAL EM PAREDE, UMA DEMÃO. AF_09/2016</t>
  </si>
  <si>
    <t>6.6</t>
  </si>
  <si>
    <t>APLICAÇÃO MANUAL DE TINTA LÁTEX ACRÍLICA, 1° LINHA, ANTIMOFO E LAVAVEL, COM DUAS DEMÃOS NA COR OVELHA.</t>
  </si>
  <si>
    <t>6.7</t>
  </si>
  <si>
    <t>6.8</t>
  </si>
  <si>
    <t>REMOÇÃO DE PINTURA</t>
  </si>
  <si>
    <t>PINTOR COM ENCARGOS COMPLEMENTARES</t>
  </si>
  <si>
    <t>Composição 15</t>
  </si>
  <si>
    <t>Orçamento</t>
  </si>
  <si>
    <t>TINTA ACRILICA PREMIUM,PRIMEIRA LINHA NA COR OVELHA 18L</t>
  </si>
  <si>
    <t>L</t>
  </si>
  <si>
    <t>Composição 16</t>
  </si>
  <si>
    <t>Composição 17</t>
  </si>
  <si>
    <t>PINTURA</t>
  </si>
  <si>
    <t>APLICAÇÃO MANUAL DE PINTURA COM TINTA ACRÍLICA, 1° LINHA, ANTIMOFO EM PAREDES EXTERNAS DE CASAS, NA COR VERDE FOLHA.</t>
  </si>
  <si>
    <t>MASSA PARA TEXTURA RUSTICA DE BASE ACRILICA, COR BRANCA, USO INTERNO E EXTERNO</t>
  </si>
  <si>
    <t>TINTA ACRILICA PREMIUM,PRIMEIRA LINHA NA COR VERDE FOLHA 18L</t>
  </si>
  <si>
    <t>APLICAÇÃO MANUAL DE PINTURA COM TINTA ACRÍLICA, 1° LINHA, ANTIMOFO EM PAREDES EXTERNAS DE CASAS, NA CAIXA DE PANDORA.</t>
  </si>
  <si>
    <t xml:space="preserve">KG    </t>
  </si>
  <si>
    <t>APLICAÇÃO MANUAL DE TINTA LÁTEX ACRÍLICA, 1° LINHA, ANTIMOFO E LAVAVEL, COM DUAS DEMÃOS NA COR OVELHA</t>
  </si>
  <si>
    <t>Composição 18</t>
  </si>
  <si>
    <t>6.9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</si>
  <si>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</si>
  <si>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</si>
  <si>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</si>
  <si>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</si>
  <si>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</si>
  <si>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</si>
  <si>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</si>
  <si>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</si>
  <si>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</si>
  <si>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INSTALAÇÕES ELÉTRICAS</t>
  </si>
  <si>
    <t>8.1</t>
  </si>
  <si>
    <t>8.2</t>
  </si>
  <si>
    <t>8.3</t>
  </si>
  <si>
    <t>8.4</t>
  </si>
  <si>
    <t>8.5</t>
  </si>
  <si>
    <t>CABO DE COBRE FLEXÍVEL ISOLADO, 2,5 MM², ANTI-CHAMA 450/750 V, PARA CIRCUITOS TERMINAIS - FORNECIMENTO E INSTALAÇÃO. AF_12/2015</t>
  </si>
  <si>
    <t>TOMADA MÉDIA DE EMBUTIR (1 MÓDULO), 2P+T 10 A, INCLUINDO SUPORTE E PLACA - FORNECIMENTO E INSTALAÇÃO. AF_12/2015</t>
  </si>
  <si>
    <t>TOMADA BAIXA DE EMBUTIR (1 MÓDULO), 2P+T 10 A, INCLUINDO SUPORTE E PLACA - FORNECIMENTO E INSTALAÇÃO. AF_12/2015</t>
  </si>
  <si>
    <t xml:space="preserve">LUMINARIA ARANDELA TIPO MEIA-LUA COM VIDRO FOSCO *30 X 15* CM, PARA 1 LAMPADA, BASE E27, POTENCIA MAXIMA 40/60 W (NAO INCLUI LAMPADA)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</si>
  <si>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LED REFLETOR RETANGULAR BIVOLT, LUZ BRANCA, 50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</si>
  <si>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LED PLAFON REDONDO DE SOBREPOR BIVOLT 12/13 W,  D = *17*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</si>
  <si>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8.6</t>
  </si>
  <si>
    <t>AUXILIAR DE ELETRICISTA COM ENCARGOS COMPLEMENTARES</t>
  </si>
  <si>
    <t>ELETRICISTA COM ENCARGOS COMPLEMENTARES</t>
  </si>
  <si>
    <t>8.7</t>
  </si>
  <si>
    <t>8.8</t>
  </si>
  <si>
    <t xml:space="preserve">TUBO, PVC, SOLDÁVEL, DN 50MM, INSTALADO EM PRUMADA DE ÁGUA - FORNECIMENTO E INSTALAÇÃO. AF_12/2014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</si>
  <si>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TE, PVC, SOLDÁVEL, DN 50MM, INSTALADO EM PRUMADA DE ÁGUA - FORNECIMENTO E INSTALAÇÃO. AF_12/2014</t>
  </si>
  <si>
    <t>COBERTURA E FORRO</t>
  </si>
  <si>
    <t>EXECUÇÃO DE TABLADO DE MADEIRA DA CAIXA D'AGUA</t>
  </si>
  <si>
    <t>BDI</t>
  </si>
  <si>
    <t>OBRA:</t>
  </si>
  <si>
    <t>ENDEREÇO:</t>
  </si>
  <si>
    <t>MUNICÍPIO:</t>
  </si>
  <si>
    <t>ASSUNTO:</t>
  </si>
  <si>
    <t>ITEM</t>
  </si>
  <si>
    <t>DISCRIMINAÇÃO</t>
  </si>
  <si>
    <t>PERCENTUAL
(%)</t>
  </si>
  <si>
    <t>1.0</t>
  </si>
  <si>
    <t>MAX</t>
  </si>
  <si>
    <t>MIN</t>
  </si>
  <si>
    <t>Administração Central</t>
  </si>
  <si>
    <t>Despesas Financeiras</t>
  </si>
  <si>
    <t>1.3</t>
  </si>
  <si>
    <t>Riscos</t>
  </si>
  <si>
    <t>1.4</t>
  </si>
  <si>
    <t>Seguros e Garantias</t>
  </si>
  <si>
    <t>2.0</t>
  </si>
  <si>
    <t>LUCRO</t>
  </si>
  <si>
    <t>Lucro Operacional</t>
  </si>
  <si>
    <t>3.0</t>
  </si>
  <si>
    <t>TRIBUTOS</t>
  </si>
  <si>
    <t>**ISS</t>
  </si>
  <si>
    <t>Cofins</t>
  </si>
  <si>
    <t>3.3</t>
  </si>
  <si>
    <t>Pis</t>
  </si>
  <si>
    <t>3.4</t>
  </si>
  <si>
    <t>Contribuição Previdênciária - Lei N° 13161/2015</t>
  </si>
  <si>
    <t>**ISS - Repassado pelo município</t>
  </si>
  <si>
    <t xml:space="preserve">Fórmula e parâmetros estabelecidos pelo Acórdão 2622/2013-TCU-Plenário (contemplando) </t>
  </si>
  <si>
    <t xml:space="preserve">TAXA DE BDI A SER APLICADA 
SOBRE O CUSTO DIRETO </t>
  </si>
  <si>
    <t>VALOR DA OBRA</t>
  </si>
  <si>
    <t>Não incidem IRPJ e CSLL na composição de Tributos.</t>
  </si>
  <si>
    <t>CÁLCULO DO BDI</t>
  </si>
  <si>
    <t>CRONOGRAMA FÍSICO FINANCEIRO</t>
  </si>
  <si>
    <t>ETAPA</t>
  </si>
  <si>
    <t>VL. TOTAL</t>
  </si>
  <si>
    <t>%</t>
  </si>
  <si>
    <t>30 DIAS</t>
  </si>
  <si>
    <t>VALOR TOTAL</t>
  </si>
  <si>
    <t>VALOR ACUMULADO</t>
  </si>
  <si>
    <t>POCONÉ - MT</t>
  </si>
  <si>
    <t>REFORMA</t>
  </si>
  <si>
    <t>NUCLE AVANÇADO DE CAPACITAÇÃO POCONE</t>
  </si>
  <si>
    <t>REF.:</t>
  </si>
  <si>
    <t>SINAP-MT DES. NOV/2021</t>
  </si>
  <si>
    <t>9.1</t>
  </si>
  <si>
    <t>9.2</t>
  </si>
  <si>
    <t>9.3</t>
  </si>
  <si>
    <t>9.4</t>
  </si>
  <si>
    <t>RUA Justino Gonçalves da Guia, Parque de Esposição, s/n, Poconé-MT</t>
  </si>
  <si>
    <t>02/2022</t>
  </si>
  <si>
    <t>OBRA DO SENAR POCONÉ-MT</t>
  </si>
  <si>
    <t>SINAPI MT           JAN_FEV/2022</t>
  </si>
  <si>
    <t xml:space="preserve">R. Justino Gonçalves da Guia, 1012, Jurumirim Poconé – MT </t>
  </si>
  <si>
    <t>REPARO DE ENGENHARIA</t>
  </si>
  <si>
    <t>Referência SINAPI       Não Desonerada: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</si>
</sst>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[$R$-416]\ * #,##0.000000000_-;\-[$R$-416]\ * #,##0.000000000_-;_-[$R$-416]\ * &quot;-&quot;??_-;_-@_-"/>
    <numFmt numFmtId="166" formatCode="_(&quot;R$ &quot;* #,##0.00_);_(&quot;R$ &quot;* \(#,##0.00\);_(&quot;R$ &quot;* &quot;-&quot;??_);_(@_)"/>
    <numFmt numFmtId="167" formatCode="[$-416]mmmm\-yy;@"/>
    <numFmt numFmtId="168" formatCode="_-&quot;R$&quot;* #,##0.00_-;\-&quot;R$&quot;* #,##0.00_-;_-&quot;R$&quot;* &quot;-&quot;??_-;_-@_-"/>
    <numFmt numFmtId="169" formatCode="0.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</font>
    <font>
      <b/>
      <sz val="9"/>
      <color indexed="81"/>
      <name val="Segoe UI"/>
      <family val="2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24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2"/>
      <color rgb="FFFF0000"/>
      <name val="Calibri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92D050"/>
      <name val="Arial"/>
      <family val="2"/>
    </font>
    <font>
      <sz val="20"/>
      <name val="Arial"/>
      <family val="2"/>
    </font>
    <font>
      <b/>
      <sz val="12"/>
      <color indexed="8"/>
      <name val="Arial"/>
      <family val="2"/>
    </font>
    <font>
      <b/>
      <sz val="20"/>
      <name val="Arial"/>
      <family val="2"/>
    </font>
    <font>
      <b/>
      <sz val="12"/>
      <color indexed="8"/>
      <name val="Calibri"/>
      <family val="2"/>
    </font>
    <font>
      <sz val="15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4">
    <xf numFmtId="0" fontId="0" fillId="0" borderId="0" xfId="0"/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4" fontId="4" fillId="0" borderId="1" xfId="4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44" fontId="7" fillId="0" borderId="1" xfId="13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4" fontId="4" fillId="0" borderId="5" xfId="4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44" fontId="11" fillId="0" borderId="1" xfId="4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4" fontId="5" fillId="2" borderId="1" xfId="4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4" fontId="4" fillId="2" borderId="1" xfId="4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4" fontId="4" fillId="0" borderId="1" xfId="4" applyFont="1" applyBorder="1" applyAlignment="1">
      <alignment vertical="center"/>
    </xf>
    <xf numFmtId="44" fontId="4" fillId="0" borderId="1" xfId="4" applyFont="1" applyBorder="1"/>
    <xf numFmtId="44" fontId="7" fillId="2" borderId="1" xfId="4" applyFont="1" applyFill="1" applyBorder="1" applyAlignment="1">
      <alignment horizontal="center" vertical="center"/>
    </xf>
    <xf numFmtId="44" fontId="7" fillId="0" borderId="1" xfId="13" applyFont="1" applyBorder="1" applyAlignment="1">
      <alignment vertical="center"/>
    </xf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horizontal="left" wrapText="1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9" fontId="15" fillId="2" borderId="8" xfId="0" applyNumberFormat="1" applyFont="1" applyFill="1" applyBorder="1" applyAlignment="1"/>
    <xf numFmtId="0" fontId="15" fillId="2" borderId="8" xfId="0" applyFont="1" applyFill="1" applyBorder="1" applyAlignment="1"/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right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/>
    </xf>
    <xf numFmtId="164" fontId="16" fillId="2" borderId="21" xfId="0" applyNumberFormat="1" applyFont="1" applyFill="1" applyBorder="1" applyAlignment="1">
      <alignment horizontal="center" vertical="center"/>
    </xf>
    <xf numFmtId="164" fontId="16" fillId="2" borderId="21" xfId="0" applyNumberFormat="1" applyFont="1" applyFill="1" applyBorder="1" applyAlignment="1">
      <alignment horizontal="center" vertical="center" wrapText="1"/>
    </xf>
    <xf numFmtId="164" fontId="16" fillId="2" borderId="18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left" wrapText="1"/>
    </xf>
    <xf numFmtId="0" fontId="17" fillId="3" borderId="3" xfId="0" applyFont="1" applyFill="1" applyBorder="1" applyAlignment="1"/>
    <xf numFmtId="164" fontId="17" fillId="3" borderId="3" xfId="0" applyNumberFormat="1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/>
    <xf numFmtId="164" fontId="17" fillId="3" borderId="4" xfId="0" applyNumberFormat="1" applyFont="1" applyFill="1" applyBorder="1" applyAlignment="1"/>
    <xf numFmtId="0" fontId="18" fillId="2" borderId="1" xfId="0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center" vertical="center"/>
    </xf>
    <xf numFmtId="4" fontId="18" fillId="3" borderId="3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164" fontId="17" fillId="3" borderId="4" xfId="0" applyNumberFormat="1" applyFont="1" applyFill="1" applyBorder="1" applyAlignment="1">
      <alignment vertical="center"/>
    </xf>
    <xf numFmtId="0" fontId="15" fillId="3" borderId="0" xfId="0" applyFont="1" applyFill="1"/>
    <xf numFmtId="0" fontId="15" fillId="2" borderId="1" xfId="0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4" fontId="19" fillId="2" borderId="4" xfId="0" applyNumberFormat="1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wrapText="1"/>
    </xf>
    <xf numFmtId="0" fontId="18" fillId="4" borderId="1" xfId="0" applyFont="1" applyFill="1" applyBorder="1" applyAlignment="1">
      <alignment horizontal="center" vertical="center" wrapText="1"/>
    </xf>
    <xf numFmtId="44" fontId="18" fillId="4" borderId="1" xfId="4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vertical="center"/>
    </xf>
    <xf numFmtId="0" fontId="19" fillId="2" borderId="12" xfId="0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vertical="center"/>
    </xf>
    <xf numFmtId="164" fontId="19" fillId="2" borderId="14" xfId="0" applyNumberFormat="1" applyFont="1" applyFill="1" applyBorder="1" applyAlignment="1">
      <alignment vertical="center"/>
    </xf>
    <xf numFmtId="165" fontId="15" fillId="0" borderId="0" xfId="0" applyNumberFormat="1" applyFont="1"/>
    <xf numFmtId="4" fontId="15" fillId="0" borderId="0" xfId="0" applyNumberFormat="1" applyFont="1"/>
    <xf numFmtId="0" fontId="18" fillId="2" borderId="1" xfId="0" applyFont="1" applyFill="1" applyBorder="1"/>
    <xf numFmtId="44" fontId="18" fillId="2" borderId="1" xfId="4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0" fontId="18" fillId="3" borderId="2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vertical="center" wrapText="1"/>
    </xf>
    <xf numFmtId="2" fontId="18" fillId="3" borderId="3" xfId="0" applyNumberFormat="1" applyFont="1" applyFill="1" applyBorder="1" applyAlignment="1">
      <alignment horizontal="center" vertical="center"/>
    </xf>
    <xf numFmtId="44" fontId="18" fillId="3" borderId="3" xfId="4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/>
    </xf>
    <xf numFmtId="2" fontId="15" fillId="0" borderId="3" xfId="0" applyNumberFormat="1" applyFont="1" applyFill="1" applyBorder="1" applyAlignment="1">
      <alignment horizontal="center" vertical="center"/>
    </xf>
    <xf numFmtId="44" fontId="15" fillId="0" borderId="3" xfId="4" applyFont="1" applyFill="1" applyBorder="1" applyAlignment="1">
      <alignment horizontal="center" vertical="center"/>
    </xf>
    <xf numFmtId="44" fontId="15" fillId="2" borderId="3" xfId="4" applyFont="1" applyFill="1" applyBorder="1" applyAlignment="1">
      <alignment horizontal="center" vertical="center"/>
    </xf>
    <xf numFmtId="44" fontId="15" fillId="2" borderId="4" xfId="4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left" wrapText="1"/>
    </xf>
    <xf numFmtId="0" fontId="18" fillId="3" borderId="22" xfId="0" applyFont="1" applyFill="1" applyBorder="1" applyAlignment="1">
      <alignment horizontal="center" vertical="center"/>
    </xf>
    <xf numFmtId="4" fontId="18" fillId="3" borderId="22" xfId="0" applyNumberFormat="1" applyFont="1" applyFill="1" applyBorder="1" applyAlignment="1">
      <alignment horizontal="center" vertical="center"/>
    </xf>
    <xf numFmtId="164" fontId="18" fillId="3" borderId="22" xfId="0" applyNumberFormat="1" applyFont="1" applyFill="1" applyBorder="1" applyAlignment="1">
      <alignment horizontal="right" vertical="center"/>
    </xf>
    <xf numFmtId="0" fontId="17" fillId="3" borderId="22" xfId="0" applyFont="1" applyFill="1" applyBorder="1" applyAlignment="1">
      <alignment horizontal="left" wrapText="1"/>
    </xf>
    <xf numFmtId="0" fontId="17" fillId="3" borderId="22" xfId="0" applyFont="1" applyFill="1" applyBorder="1" applyAlignment="1"/>
    <xf numFmtId="164" fontId="17" fillId="3" borderId="22" xfId="0" applyNumberFormat="1" applyFont="1" applyFill="1" applyBorder="1" applyAlignment="1">
      <alignment horizontal="center" vertical="center"/>
    </xf>
    <xf numFmtId="164" fontId="17" fillId="3" borderId="22" xfId="0" applyNumberFormat="1" applyFont="1" applyFill="1" applyBorder="1" applyAlignment="1"/>
    <xf numFmtId="164" fontId="17" fillId="3" borderId="19" xfId="0" applyNumberFormat="1" applyFont="1" applyFill="1" applyBorder="1" applyAlignment="1"/>
    <xf numFmtId="0" fontId="18" fillId="2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left" wrapText="1"/>
    </xf>
    <xf numFmtId="164" fontId="18" fillId="2" borderId="1" xfId="4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center" vertical="center"/>
    </xf>
    <xf numFmtId="4" fontId="18" fillId="2" borderId="5" xfId="0" applyNumberFormat="1" applyFont="1" applyFill="1" applyBorder="1" applyAlignment="1">
      <alignment horizontal="center" vertical="center"/>
    </xf>
    <xf numFmtId="164" fontId="18" fillId="2" borderId="5" xfId="4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vertical="center"/>
    </xf>
    <xf numFmtId="164" fontId="17" fillId="3" borderId="2" xfId="0" applyNumberFormat="1" applyFont="1" applyFill="1" applyBorder="1" applyAlignment="1">
      <alignment vertical="center"/>
    </xf>
    <xf numFmtId="0" fontId="17" fillId="3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9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vertical="center"/>
    </xf>
    <xf numFmtId="164" fontId="17" fillId="2" borderId="14" xfId="0" applyNumberFormat="1" applyFont="1" applyFill="1" applyBorder="1" applyAlignment="1">
      <alignment vertical="center"/>
    </xf>
    <xf numFmtId="0" fontId="17" fillId="2" borderId="1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vertical="center" wrapText="1"/>
    </xf>
    <xf numFmtId="0" fontId="18" fillId="2" borderId="1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left" wrapText="1"/>
    </xf>
    <xf numFmtId="0" fontId="17" fillId="3" borderId="1" xfId="0" applyFont="1" applyFill="1" applyBorder="1" applyAlignment="1"/>
    <xf numFmtId="164" fontId="17" fillId="3" borderId="1" xfId="0" applyNumberFormat="1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/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3" xfId="0" applyFont="1" applyFill="1" applyBorder="1" applyAlignment="1"/>
    <xf numFmtId="0" fontId="21" fillId="3" borderId="4" xfId="0" applyFont="1" applyFill="1" applyBorder="1" applyAlignment="1"/>
    <xf numFmtId="0" fontId="22" fillId="2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wrapText="1"/>
    </xf>
    <xf numFmtId="0" fontId="18" fillId="0" borderId="11" xfId="0" applyFont="1" applyFill="1" applyBorder="1" applyAlignment="1">
      <alignment horizontal="center" vertical="center"/>
    </xf>
    <xf numFmtId="4" fontId="22" fillId="0" borderId="11" xfId="0" applyNumberFormat="1" applyFont="1" applyFill="1" applyBorder="1" applyAlignment="1">
      <alignment horizontal="center" vertical="center"/>
    </xf>
    <xf numFmtId="164" fontId="22" fillId="2" borderId="11" xfId="4" applyNumberFormat="1" applyFont="1" applyFill="1" applyBorder="1" applyAlignment="1">
      <alignment horizontal="center" vertical="center"/>
    </xf>
    <xf numFmtId="164" fontId="22" fillId="2" borderId="1" xfId="0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center" vertical="center"/>
    </xf>
    <xf numFmtId="164" fontId="22" fillId="2" borderId="1" xfId="4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64" fontId="22" fillId="2" borderId="11" xfId="0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left" wrapText="1"/>
    </xf>
    <xf numFmtId="0" fontId="22" fillId="2" borderId="1" xfId="0" applyFont="1" applyFill="1" applyBorder="1" applyAlignment="1">
      <alignment wrapText="1"/>
    </xf>
    <xf numFmtId="44" fontId="22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/>
    </xf>
    <xf numFmtId="4" fontId="22" fillId="0" borderId="5" xfId="0" applyNumberFormat="1" applyFont="1" applyFill="1" applyBorder="1" applyAlignment="1">
      <alignment horizontal="center" vertical="center"/>
    </xf>
    <xf numFmtId="164" fontId="22" fillId="2" borderId="5" xfId="4" applyNumberFormat="1" applyFont="1" applyFill="1" applyBorder="1" applyAlignment="1">
      <alignment horizontal="center" vertical="center"/>
    </xf>
    <xf numFmtId="164" fontId="22" fillId="2" borderId="5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4" fontId="12" fillId="0" borderId="1" xfId="4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8" fillId="2" borderId="1" xfId="27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" fontId="18" fillId="2" borderId="1" xfId="26" applyNumberFormat="1" applyFont="1" applyFill="1" applyBorder="1" applyAlignment="1">
      <alignment horizontal="center" vertical="center"/>
    </xf>
    <xf numFmtId="4" fontId="18" fillId="2" borderId="11" xfId="0" applyNumberFormat="1" applyFont="1" applyFill="1" applyBorder="1" applyAlignment="1">
      <alignment horizontal="center" vertical="center"/>
    </xf>
    <xf numFmtId="164" fontId="18" fillId="2" borderId="11" xfId="4" applyNumberFormat="1" applyFont="1" applyFill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7" fillId="3" borderId="4" xfId="0" applyFont="1" applyFill="1" applyBorder="1" applyAlignment="1">
      <alignment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/>
    <xf numFmtId="0" fontId="17" fillId="3" borderId="5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2" xfId="0" applyFont="1" applyFill="1" applyBorder="1" applyAlignment="1"/>
    <xf numFmtId="164" fontId="18" fillId="2" borderId="1" xfId="4" quotePrefix="1" applyNumberFormat="1" applyFont="1" applyFill="1" applyBorder="1" applyAlignment="1">
      <alignment horizontal="center" vertical="center"/>
    </xf>
    <xf numFmtId="164" fontId="18" fillId="3" borderId="3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 wrapText="1"/>
    </xf>
    <xf numFmtId="164" fontId="18" fillId="0" borderId="0" xfId="0" applyNumberFormat="1" applyFont="1" applyAlignment="1">
      <alignment horizontal="center" vertical="center"/>
    </xf>
    <xf numFmtId="164" fontId="18" fillId="0" borderId="0" xfId="0" applyNumberFormat="1" applyFont="1"/>
    <xf numFmtId="0" fontId="11" fillId="2" borderId="0" xfId="0" applyFont="1" applyFill="1"/>
    <xf numFmtId="0" fontId="14" fillId="2" borderId="0" xfId="0" applyFont="1" applyFill="1"/>
    <xf numFmtId="0" fontId="24" fillId="2" borderId="0" xfId="0" applyFont="1" applyFill="1"/>
    <xf numFmtId="0" fontId="24" fillId="0" borderId="0" xfId="0" applyFont="1"/>
    <xf numFmtId="44" fontId="24" fillId="0" borderId="0" xfId="0" applyNumberFormat="1" applyFont="1"/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0" borderId="0" xfId="0" applyFont="1"/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44" fontId="5" fillId="6" borderId="1" xfId="4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4" fontId="5" fillId="6" borderId="1" xfId="4" applyFont="1" applyFill="1" applyBorder="1" applyAlignmen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 wrapText="1"/>
    </xf>
    <xf numFmtId="4" fontId="13" fillId="6" borderId="1" xfId="0" applyNumberFormat="1" applyFont="1" applyFill="1" applyBorder="1" applyAlignment="1">
      <alignment horizontal="center" vertical="center"/>
    </xf>
    <xf numFmtId="44" fontId="13" fillId="6" borderId="1" xfId="4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44" fontId="13" fillId="6" borderId="1" xfId="13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2" fillId="0" borderId="0" xfId="0" applyFont="1"/>
    <xf numFmtId="0" fontId="23" fillId="6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vertical="center"/>
    </xf>
    <xf numFmtId="44" fontId="12" fillId="6" borderId="1" xfId="4" applyFont="1" applyFill="1" applyBorder="1" applyAlignment="1">
      <alignment horizontal="center" vertical="center"/>
    </xf>
    <xf numFmtId="44" fontId="23" fillId="6" borderId="1" xfId="4" applyFont="1" applyFill="1" applyBorder="1" applyAlignment="1">
      <alignment horizontal="center" vertical="center"/>
    </xf>
    <xf numFmtId="4" fontId="23" fillId="6" borderId="1" xfId="0" applyNumberFormat="1" applyFont="1" applyFill="1" applyBorder="1" applyAlignment="1">
      <alignment horizontal="center" vertical="center"/>
    </xf>
    <xf numFmtId="44" fontId="18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0" xfId="21"/>
    <xf numFmtId="0" fontId="26" fillId="0" borderId="18" xfId="21" applyFont="1" applyBorder="1" applyAlignment="1"/>
    <xf numFmtId="10" fontId="27" fillId="0" borderId="8" xfId="21" applyNumberFormat="1" applyFont="1" applyFill="1" applyBorder="1" applyAlignment="1">
      <alignment vertical="center"/>
    </xf>
    <xf numFmtId="0" fontId="27" fillId="0" borderId="8" xfId="21" applyNumberFormat="1" applyFont="1" applyFill="1" applyBorder="1" applyAlignment="1">
      <alignment vertical="center"/>
    </xf>
    <xf numFmtId="167" fontId="26" fillId="0" borderId="18" xfId="21" applyNumberFormat="1" applyFont="1" applyBorder="1" applyAlignment="1"/>
    <xf numFmtId="0" fontId="17" fillId="0" borderId="27" xfId="21" applyFont="1" applyBorder="1" applyAlignment="1">
      <alignment horizontal="center" vertical="center"/>
    </xf>
    <xf numFmtId="0" fontId="17" fillId="0" borderId="30" xfId="21" applyFont="1" applyBorder="1" applyAlignment="1">
      <alignment horizontal="center" wrapText="1"/>
    </xf>
    <xf numFmtId="0" fontId="27" fillId="7" borderId="25" xfId="21" applyFont="1" applyFill="1" applyBorder="1" applyAlignment="1">
      <alignment horizontal="center"/>
    </xf>
    <xf numFmtId="4" fontId="27" fillId="7" borderId="31" xfId="21" applyNumberFormat="1" applyFont="1" applyFill="1" applyBorder="1" applyAlignment="1">
      <alignment horizontal="center"/>
    </xf>
    <xf numFmtId="0" fontId="17" fillId="0" borderId="0" xfId="21" applyFont="1" applyFill="1" applyBorder="1" applyAlignment="1">
      <alignment horizontal="center" vertical="center"/>
    </xf>
    <xf numFmtId="0" fontId="2" fillId="0" borderId="32" xfId="21" applyFont="1" applyBorder="1" applyAlignment="1">
      <alignment horizontal="center"/>
    </xf>
    <xf numFmtId="2" fontId="2" fillId="0" borderId="36" xfId="22" applyNumberFormat="1" applyFont="1" applyBorder="1" applyAlignment="1">
      <alignment horizontal="center"/>
    </xf>
    <xf numFmtId="2" fontId="28" fillId="0" borderId="21" xfId="20" applyNumberFormat="1" applyFont="1" applyBorder="1" applyAlignment="1">
      <alignment horizontal="center" vertical="center"/>
    </xf>
    <xf numFmtId="2" fontId="29" fillId="0" borderId="37" xfId="20" applyNumberFormat="1" applyFont="1" applyBorder="1" applyAlignment="1">
      <alignment horizontal="center" vertical="center"/>
    </xf>
    <xf numFmtId="0" fontId="2" fillId="0" borderId="38" xfId="21" applyFont="1" applyBorder="1" applyAlignment="1">
      <alignment horizontal="center"/>
    </xf>
    <xf numFmtId="2" fontId="2" fillId="0" borderId="39" xfId="22" applyNumberFormat="1" applyFont="1" applyBorder="1" applyAlignment="1">
      <alignment horizontal="center"/>
    </xf>
    <xf numFmtId="0" fontId="2" fillId="0" borderId="40" xfId="21" applyFont="1" applyBorder="1" applyAlignment="1">
      <alignment horizontal="center"/>
    </xf>
    <xf numFmtId="2" fontId="2" fillId="0" borderId="44" xfId="22" applyNumberFormat="1" applyFont="1" applyBorder="1" applyAlignment="1">
      <alignment horizontal="center"/>
    </xf>
    <xf numFmtId="2" fontId="28" fillId="0" borderId="21" xfId="21" applyNumberFormat="1" applyFont="1" applyBorder="1" applyAlignment="1">
      <alignment horizontal="center"/>
    </xf>
    <xf numFmtId="0" fontId="29" fillId="0" borderId="37" xfId="21" applyFont="1" applyBorder="1" applyAlignment="1">
      <alignment horizontal="center"/>
    </xf>
    <xf numFmtId="0" fontId="2" fillId="0" borderId="45" xfId="21" applyFont="1" applyBorder="1" applyAlignment="1">
      <alignment horizontal="center"/>
    </xf>
    <xf numFmtId="4" fontId="2" fillId="0" borderId="46" xfId="21" applyNumberFormat="1" applyFont="1" applyBorder="1" applyAlignment="1">
      <alignment horizontal="center"/>
    </xf>
    <xf numFmtId="0" fontId="28" fillId="0" borderId="0" xfId="21" applyFont="1" applyFill="1" applyBorder="1" applyAlignment="1">
      <alignment vertical="center"/>
    </xf>
    <xf numFmtId="0" fontId="27" fillId="0" borderId="32" xfId="21" applyFont="1" applyBorder="1" applyAlignment="1">
      <alignment horizontal="center"/>
    </xf>
    <xf numFmtId="4" fontId="2" fillId="2" borderId="36" xfId="21" applyNumberFormat="1" applyFont="1" applyFill="1" applyBorder="1" applyAlignment="1">
      <alignment horizontal="center"/>
    </xf>
    <xf numFmtId="0" fontId="27" fillId="0" borderId="38" xfId="21" applyFont="1" applyBorder="1" applyAlignment="1">
      <alignment horizontal="center"/>
    </xf>
    <xf numFmtId="4" fontId="2" fillId="0" borderId="39" xfId="21" applyNumberFormat="1" applyFont="1" applyBorder="1" applyAlignment="1">
      <alignment horizontal="center"/>
    </xf>
    <xf numFmtId="0" fontId="27" fillId="0" borderId="40" xfId="21" applyFont="1" applyBorder="1" applyAlignment="1">
      <alignment horizontal="center"/>
    </xf>
    <xf numFmtId="4" fontId="2" fillId="0" borderId="44" xfId="21" applyNumberFormat="1" applyFont="1" applyBorder="1" applyAlignment="1">
      <alignment horizontal="center"/>
    </xf>
    <xf numFmtId="0" fontId="2" fillId="0" borderId="0" xfId="21" applyFill="1" applyBorder="1"/>
    <xf numFmtId="2" fontId="30" fillId="0" borderId="0" xfId="21" applyNumberFormat="1" applyFont="1"/>
    <xf numFmtId="2" fontId="32" fillId="7" borderId="18" xfId="21" applyNumberFormat="1" applyFont="1" applyFill="1" applyBorder="1" applyAlignment="1">
      <alignment horizontal="center" vertical="center"/>
    </xf>
    <xf numFmtId="166" fontId="16" fillId="0" borderId="18" xfId="23" applyFont="1" applyBorder="1" applyAlignment="1">
      <alignment vertical="center"/>
    </xf>
    <xf numFmtId="10" fontId="28" fillId="0" borderId="0" xfId="22" applyNumberFormat="1" applyFont="1" applyFill="1" applyBorder="1" applyAlignment="1">
      <alignment vertical="center"/>
    </xf>
    <xf numFmtId="0" fontId="2" fillId="0" borderId="0" xfId="21" applyFont="1"/>
    <xf numFmtId="0" fontId="34" fillId="0" borderId="0" xfId="21" applyFont="1"/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168" fontId="38" fillId="0" borderId="1" xfId="0" applyNumberFormat="1" applyFont="1" applyBorder="1" applyAlignment="1">
      <alignment horizontal="right" vertical="center"/>
    </xf>
    <xf numFmtId="168" fontId="38" fillId="0" borderId="1" xfId="0" applyNumberFormat="1" applyFont="1" applyBorder="1" applyAlignment="1">
      <alignment horizontal="center" vertical="center"/>
    </xf>
    <xf numFmtId="168" fontId="37" fillId="0" borderId="1" xfId="0" applyNumberFormat="1" applyFont="1" applyBorder="1" applyAlignment="1">
      <alignment horizontal="right" vertical="center"/>
    </xf>
    <xf numFmtId="168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39" fillId="8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10" fontId="38" fillId="0" borderId="1" xfId="0" applyNumberFormat="1" applyFont="1" applyBorder="1" applyAlignment="1">
      <alignment horizontal="center" vertical="center"/>
    </xf>
    <xf numFmtId="169" fontId="40" fillId="0" borderId="1" xfId="0" applyNumberFormat="1" applyFont="1" applyBorder="1" applyAlignment="1">
      <alignment horizontal="center" vertical="center"/>
    </xf>
    <xf numFmtId="10" fontId="37" fillId="0" borderId="1" xfId="0" applyNumberFormat="1" applyFont="1" applyBorder="1" applyAlignment="1">
      <alignment horizontal="center" vertical="center"/>
    </xf>
    <xf numFmtId="168" fontId="26" fillId="0" borderId="1" xfId="0" applyNumberFormat="1" applyFont="1" applyBorder="1" applyAlignment="1">
      <alignment horizontal="right" vertical="center"/>
    </xf>
    <xf numFmtId="10" fontId="26" fillId="0" borderId="1" xfId="0" applyNumberFormat="1" applyFont="1" applyBorder="1" applyAlignment="1">
      <alignment horizontal="center" vertical="center"/>
    </xf>
    <xf numFmtId="9" fontId="37" fillId="0" borderId="1" xfId="0" applyNumberFormat="1" applyFont="1" applyBorder="1" applyAlignment="1">
      <alignment horizontal="center" vertical="center"/>
    </xf>
    <xf numFmtId="168" fontId="37" fillId="0" borderId="1" xfId="0" applyNumberFormat="1" applyFont="1" applyBorder="1" applyAlignment="1">
      <alignment vertical="center"/>
    </xf>
    <xf numFmtId="168" fontId="26" fillId="0" borderId="1" xfId="0" applyNumberFormat="1" applyFont="1" applyBorder="1" applyAlignment="1">
      <alignment horizontal="center" vertical="center"/>
    </xf>
    <xf numFmtId="9" fontId="26" fillId="0" borderId="1" xfId="28" applyFont="1" applyBorder="1" applyAlignment="1">
      <alignment horizontal="center" vertical="center"/>
    </xf>
    <xf numFmtId="0" fontId="37" fillId="0" borderId="38" xfId="0" applyFont="1" applyBorder="1" applyAlignment="1">
      <alignment vertical="center"/>
    </xf>
    <xf numFmtId="0" fontId="37" fillId="0" borderId="47" xfId="0" applyFont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4" fontId="12" fillId="2" borderId="1" xfId="0" applyNumberFormat="1" applyFont="1" applyFill="1" applyBorder="1" applyAlignment="1">
      <alignment horizontal="center" vertical="center"/>
    </xf>
    <xf numFmtId="44" fontId="12" fillId="2" borderId="1" xfId="4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4" fontId="4" fillId="2" borderId="5" xfId="4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44" fontId="4" fillId="2" borderId="1" xfId="4" applyFont="1" applyFill="1" applyBorder="1" applyAlignment="1">
      <alignment vertical="center"/>
    </xf>
    <xf numFmtId="44" fontId="4" fillId="2" borderId="1" xfId="4" applyFont="1" applyFill="1" applyBorder="1"/>
    <xf numFmtId="4" fontId="22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wrapText="1"/>
    </xf>
    <xf numFmtId="0" fontId="15" fillId="0" borderId="0" xfId="0" applyFont="1"/>
    <xf numFmtId="0" fontId="12" fillId="2" borderId="1" xfId="0" applyFont="1" applyFill="1" applyBorder="1" applyAlignment="1">
      <alignment horizontal="left" vertical="center" wrapText="1"/>
    </xf>
    <xf numFmtId="164" fontId="17" fillId="0" borderId="15" xfId="0" applyNumberFormat="1" applyFont="1" applyBorder="1" applyAlignment="1">
      <alignment horizontal="center" vertical="center" wrapText="1"/>
    </xf>
    <xf numFmtId="164" fontId="17" fillId="0" borderId="17" xfId="0" applyNumberFormat="1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wrapText="1"/>
    </xf>
    <xf numFmtId="49" fontId="17" fillId="0" borderId="16" xfId="0" applyNumberFormat="1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37" fillId="0" borderId="1" xfId="0" applyNumberFormat="1" applyFont="1" applyBorder="1" applyAlignment="1">
      <alignment horizontal="center" vertical="center"/>
    </xf>
    <xf numFmtId="0" fontId="37" fillId="0" borderId="39" xfId="0" applyNumberFormat="1" applyFont="1" applyBorder="1" applyAlignment="1">
      <alignment horizontal="center" vertical="center" wrapText="1"/>
    </xf>
    <xf numFmtId="0" fontId="37" fillId="0" borderId="48" xfId="0" applyNumberFormat="1" applyFont="1" applyBorder="1" applyAlignment="1">
      <alignment horizontal="center" vertical="center"/>
    </xf>
    <xf numFmtId="10" fontId="37" fillId="0" borderId="39" xfId="0" applyNumberFormat="1" applyFont="1" applyBorder="1" applyAlignment="1">
      <alignment horizontal="center" vertical="center"/>
    </xf>
    <xf numFmtId="0" fontId="37" fillId="0" borderId="49" xfId="0" applyNumberFormat="1" applyFont="1" applyBorder="1" applyAlignment="1">
      <alignment horizontal="center" vertical="center"/>
    </xf>
    <xf numFmtId="0" fontId="37" fillId="0" borderId="48" xfId="0" applyFont="1" applyBorder="1" applyAlignment="1">
      <alignment horizontal="left" vertical="center"/>
    </xf>
    <xf numFmtId="0" fontId="33" fillId="0" borderId="21" xfId="21" applyFont="1" applyBorder="1" applyAlignment="1">
      <alignment horizontal="center" vertical="center" wrapText="1"/>
    </xf>
    <xf numFmtId="0" fontId="33" fillId="0" borderId="20" xfId="21" applyFont="1" applyBorder="1" applyAlignment="1">
      <alignment horizontal="center" vertical="center" wrapText="1"/>
    </xf>
    <xf numFmtId="0" fontId="33" fillId="0" borderId="37" xfId="21" applyFont="1" applyBorder="1" applyAlignment="1">
      <alignment horizontal="center" vertical="center" wrapText="1"/>
    </xf>
    <xf numFmtId="0" fontId="2" fillId="0" borderId="6" xfId="21" applyBorder="1" applyAlignment="1">
      <alignment horizontal="center"/>
    </xf>
    <xf numFmtId="0" fontId="2" fillId="0" borderId="7" xfId="21" applyBorder="1" applyAlignment="1">
      <alignment horizontal="center"/>
    </xf>
    <xf numFmtId="0" fontId="2" fillId="0" borderId="15" xfId="21" applyBorder="1" applyAlignment="1">
      <alignment horizontal="center"/>
    </xf>
    <xf numFmtId="0" fontId="2" fillId="0" borderId="8" xfId="21" applyBorder="1" applyAlignment="1">
      <alignment horizontal="center"/>
    </xf>
    <xf numFmtId="0" fontId="2" fillId="0" borderId="0" xfId="21" applyBorder="1" applyAlignment="1">
      <alignment horizontal="center"/>
    </xf>
    <xf numFmtId="0" fontId="2" fillId="0" borderId="16" xfId="21" applyBorder="1" applyAlignment="1">
      <alignment horizontal="center"/>
    </xf>
    <xf numFmtId="0" fontId="2" fillId="0" borderId="9" xfId="21" applyBorder="1" applyAlignment="1">
      <alignment horizontal="center"/>
    </xf>
    <xf numFmtId="0" fontId="2" fillId="0" borderId="10" xfId="21" applyBorder="1" applyAlignment="1">
      <alignment horizontal="center"/>
    </xf>
    <xf numFmtId="0" fontId="2" fillId="0" borderId="17" xfId="21" applyBorder="1" applyAlignment="1">
      <alignment horizontal="center"/>
    </xf>
    <xf numFmtId="1" fontId="2" fillId="0" borderId="2" xfId="21" applyNumberFormat="1" applyFont="1" applyBorder="1" applyAlignment="1">
      <alignment horizontal="left"/>
    </xf>
    <xf numFmtId="1" fontId="2" fillId="0" borderId="3" xfId="21" applyNumberFormat="1" applyFont="1" applyBorder="1" applyAlignment="1">
      <alignment horizontal="left"/>
    </xf>
    <xf numFmtId="0" fontId="2" fillId="0" borderId="3" xfId="21" applyBorder="1" applyAlignment="1">
      <alignment horizontal="left"/>
    </xf>
    <xf numFmtId="0" fontId="2" fillId="0" borderId="4" xfId="21" applyBorder="1" applyAlignment="1">
      <alignment horizontal="left"/>
    </xf>
    <xf numFmtId="0" fontId="2" fillId="0" borderId="9" xfId="21" applyFont="1" applyFill="1" applyBorder="1" applyAlignment="1">
      <alignment horizontal="left"/>
    </xf>
    <xf numFmtId="0" fontId="2" fillId="0" borderId="10" xfId="21" applyFont="1" applyFill="1" applyBorder="1" applyAlignment="1">
      <alignment horizontal="left"/>
    </xf>
    <xf numFmtId="0" fontId="2" fillId="0" borderId="17" xfId="21" applyFont="1" applyFill="1" applyBorder="1" applyAlignment="1">
      <alignment horizontal="left"/>
    </xf>
    <xf numFmtId="0" fontId="2" fillId="0" borderId="21" xfId="21" applyFont="1" applyFill="1" applyBorder="1" applyAlignment="1">
      <alignment horizontal="left" vertical="center" wrapText="1"/>
    </xf>
    <xf numFmtId="0" fontId="2" fillId="0" borderId="20" xfId="21" applyFont="1" applyFill="1" applyBorder="1" applyAlignment="1">
      <alignment horizontal="left" vertical="center" wrapText="1"/>
    </xf>
    <xf numFmtId="0" fontId="2" fillId="0" borderId="37" xfId="21" applyFont="1" applyFill="1" applyBorder="1" applyAlignment="1">
      <alignment horizontal="left" vertical="center" wrapText="1"/>
    </xf>
    <xf numFmtId="0" fontId="31" fillId="7" borderId="21" xfId="21" applyFont="1" applyFill="1" applyBorder="1" applyAlignment="1">
      <alignment horizontal="center" vertical="center" wrapText="1"/>
    </xf>
    <xf numFmtId="0" fontId="31" fillId="7" borderId="20" xfId="21" applyFont="1" applyFill="1" applyBorder="1" applyAlignment="1">
      <alignment horizontal="center" vertical="center" wrapText="1"/>
    </xf>
    <xf numFmtId="0" fontId="31" fillId="7" borderId="37" xfId="21" applyFont="1" applyFill="1" applyBorder="1" applyAlignment="1">
      <alignment horizontal="center" vertical="center" wrapText="1"/>
    </xf>
    <xf numFmtId="0" fontId="17" fillId="0" borderId="21" xfId="21" applyFont="1" applyBorder="1" applyAlignment="1">
      <alignment horizontal="center"/>
    </xf>
    <xf numFmtId="0" fontId="17" fillId="0" borderId="20" xfId="21" applyFont="1" applyBorder="1" applyAlignment="1">
      <alignment horizontal="center"/>
    </xf>
    <xf numFmtId="0" fontId="17" fillId="0" borderId="37" xfId="21" applyFont="1" applyBorder="1" applyAlignment="1">
      <alignment horizontal="center"/>
    </xf>
    <xf numFmtId="1" fontId="27" fillId="0" borderId="9" xfId="21" applyNumberFormat="1" applyFont="1" applyBorder="1" applyAlignment="1">
      <alignment horizontal="center" vertical="center"/>
    </xf>
    <xf numFmtId="1" fontId="27" fillId="0" borderId="10" xfId="21" applyNumberFormat="1" applyFont="1" applyBorder="1" applyAlignment="1">
      <alignment horizontal="center" vertical="center"/>
    </xf>
    <xf numFmtId="1" fontId="27" fillId="0" borderId="17" xfId="21" applyNumberFormat="1" applyFont="1" applyBorder="1" applyAlignment="1">
      <alignment horizontal="center" vertical="center"/>
    </xf>
    <xf numFmtId="0" fontId="2" fillId="0" borderId="3" xfId="21" applyFont="1" applyBorder="1" applyAlignment="1">
      <alignment horizontal="left"/>
    </xf>
    <xf numFmtId="0" fontId="17" fillId="0" borderId="28" xfId="21" applyFont="1" applyBorder="1" applyAlignment="1">
      <alignment horizontal="center" vertical="center"/>
    </xf>
    <xf numFmtId="0" fontId="17" fillId="0" borderId="20" xfId="21" applyFont="1" applyBorder="1" applyAlignment="1">
      <alignment horizontal="center" vertical="center"/>
    </xf>
    <xf numFmtId="0" fontId="17" fillId="0" borderId="29" xfId="21" applyFont="1" applyBorder="1" applyAlignment="1">
      <alignment horizontal="center" vertical="center"/>
    </xf>
    <xf numFmtId="1" fontId="27" fillId="7" borderId="28" xfId="21" applyNumberFormat="1" applyFont="1" applyFill="1" applyBorder="1" applyAlignment="1">
      <alignment horizontal="left"/>
    </xf>
    <xf numFmtId="1" fontId="27" fillId="7" borderId="20" xfId="21" applyNumberFormat="1" applyFont="1" applyFill="1" applyBorder="1" applyAlignment="1">
      <alignment horizontal="left"/>
    </xf>
    <xf numFmtId="1" fontId="27" fillId="7" borderId="29" xfId="21" applyNumberFormat="1" applyFont="1" applyFill="1" applyBorder="1" applyAlignment="1">
      <alignment horizontal="left"/>
    </xf>
    <xf numFmtId="1" fontId="2" fillId="0" borderId="33" xfId="21" applyNumberFormat="1" applyFont="1" applyBorder="1" applyAlignment="1">
      <alignment horizontal="left"/>
    </xf>
    <xf numFmtId="0" fontId="2" fillId="0" borderId="34" xfId="21" applyFont="1" applyBorder="1" applyAlignment="1">
      <alignment horizontal="left"/>
    </xf>
    <xf numFmtId="0" fontId="2" fillId="0" borderId="34" xfId="21" applyBorder="1" applyAlignment="1">
      <alignment horizontal="left"/>
    </xf>
    <xf numFmtId="0" fontId="2" fillId="0" borderId="35" xfId="21" applyBorder="1" applyAlignment="1">
      <alignment horizontal="left"/>
    </xf>
    <xf numFmtId="1" fontId="2" fillId="0" borderId="41" xfId="21" applyNumberFormat="1" applyFont="1" applyBorder="1" applyAlignment="1">
      <alignment horizontal="left"/>
    </xf>
    <xf numFmtId="0" fontId="2" fillId="0" borderId="42" xfId="21" applyFont="1" applyBorder="1" applyAlignment="1">
      <alignment horizontal="left"/>
    </xf>
    <xf numFmtId="0" fontId="2" fillId="0" borderId="42" xfId="21" applyBorder="1" applyAlignment="1">
      <alignment horizontal="left"/>
    </xf>
    <xf numFmtId="0" fontId="2" fillId="0" borderId="43" xfId="21" applyBorder="1" applyAlignment="1">
      <alignment horizontal="left"/>
    </xf>
    <xf numFmtId="0" fontId="27" fillId="7" borderId="20" xfId="21" applyFont="1" applyFill="1" applyBorder="1" applyAlignment="1">
      <alignment horizontal="left"/>
    </xf>
    <xf numFmtId="0" fontId="2" fillId="7" borderId="20" xfId="21" applyFill="1" applyBorder="1" applyAlignment="1">
      <alignment horizontal="left"/>
    </xf>
    <xf numFmtId="0" fontId="2" fillId="7" borderId="29" xfId="21" applyFill="1" applyBorder="1" applyAlignment="1">
      <alignment horizontal="left"/>
    </xf>
    <xf numFmtId="1" fontId="2" fillId="0" borderId="28" xfId="21" applyNumberFormat="1" applyFont="1" applyBorder="1" applyAlignment="1">
      <alignment horizontal="left"/>
    </xf>
    <xf numFmtId="0" fontId="2" fillId="0" borderId="20" xfId="21" applyFont="1" applyBorder="1" applyAlignment="1">
      <alignment horizontal="left"/>
    </xf>
    <xf numFmtId="0" fontId="2" fillId="0" borderId="20" xfId="21" applyBorder="1" applyAlignment="1">
      <alignment horizontal="left"/>
    </xf>
    <xf numFmtId="0" fontId="2" fillId="0" borderId="29" xfId="21" applyBorder="1" applyAlignment="1">
      <alignment horizontal="left"/>
    </xf>
    <xf numFmtId="1" fontId="2" fillId="0" borderId="34" xfId="21" applyNumberFormat="1" applyFont="1" applyBorder="1" applyAlignment="1">
      <alignment horizontal="left"/>
    </xf>
    <xf numFmtId="0" fontId="26" fillId="0" borderId="18" xfId="21" applyFont="1" applyBorder="1" applyAlignment="1">
      <alignment horizontal="left"/>
    </xf>
    <xf numFmtId="0" fontId="27" fillId="0" borderId="18" xfId="21" applyNumberFormat="1" applyFont="1" applyFill="1" applyBorder="1" applyAlignment="1">
      <alignment horizontal="center" vertical="center"/>
    </xf>
    <xf numFmtId="2" fontId="27" fillId="0" borderId="18" xfId="28" applyNumberFormat="1" applyFont="1" applyFill="1" applyBorder="1" applyAlignment="1">
      <alignment horizontal="center" vertical="center"/>
    </xf>
    <xf numFmtId="0" fontId="25" fillId="0" borderId="6" xfId="21" applyFont="1" applyFill="1" applyBorder="1" applyAlignment="1">
      <alignment horizontal="center" vertical="center"/>
    </xf>
    <xf numFmtId="0" fontId="25" fillId="0" borderId="7" xfId="21" applyFont="1" applyFill="1" applyBorder="1" applyAlignment="1">
      <alignment horizontal="center" vertical="center"/>
    </xf>
    <xf numFmtId="0" fontId="25" fillId="0" borderId="15" xfId="21" applyFont="1" applyFill="1" applyBorder="1" applyAlignment="1">
      <alignment horizontal="center" vertical="center"/>
    </xf>
    <xf numFmtId="0" fontId="25" fillId="0" borderId="8" xfId="21" applyFont="1" applyFill="1" applyBorder="1" applyAlignment="1">
      <alignment horizontal="center" vertical="center"/>
    </xf>
    <xf numFmtId="0" fontId="25" fillId="0" borderId="0" xfId="21" applyFont="1" applyFill="1" applyBorder="1" applyAlignment="1">
      <alignment horizontal="center" vertical="center"/>
    </xf>
    <xf numFmtId="0" fontId="25" fillId="0" borderId="16" xfId="21" applyFont="1" applyFill="1" applyBorder="1" applyAlignment="1">
      <alignment horizontal="center" vertical="center"/>
    </xf>
    <xf numFmtId="0" fontId="25" fillId="0" borderId="9" xfId="21" applyFont="1" applyFill="1" applyBorder="1" applyAlignment="1">
      <alignment horizontal="center" vertical="center"/>
    </xf>
    <xf numFmtId="0" fontId="25" fillId="0" borderId="10" xfId="21" applyFont="1" applyFill="1" applyBorder="1" applyAlignment="1">
      <alignment horizontal="center" vertical="center"/>
    </xf>
    <xf numFmtId="0" fontId="25" fillId="0" borderId="17" xfId="21" applyFont="1" applyFill="1" applyBorder="1" applyAlignment="1">
      <alignment horizontal="center" vertical="center"/>
    </xf>
    <xf numFmtId="10" fontId="27" fillId="0" borderId="18" xfId="21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46">
    <cellStyle name="Currency 2 2 3" xfId="2"/>
    <cellStyle name="Currency 2 2 3 2" xfId="5"/>
    <cellStyle name="Currency 2 2 3 2 2" xfId="31"/>
    <cellStyle name="Currency 2 2 3 3" xfId="18"/>
    <cellStyle name="Currency 2 2 3 3 2" xfId="42"/>
    <cellStyle name="Currency 2 2 3 4" xfId="29"/>
    <cellStyle name="Moeda" xfId="4" builtinId="4"/>
    <cellStyle name="Moeda 2" xfId="6"/>
    <cellStyle name="Moeda 2 2" xfId="23"/>
    <cellStyle name="Moeda 2 3" xfId="14"/>
    <cellStyle name="Moeda 2 3 2" xfId="38"/>
    <cellStyle name="Moeda 2 4" xfId="32"/>
    <cellStyle name="Moeda 3" xfId="7"/>
    <cellStyle name="Moeda 3 2" xfId="19"/>
    <cellStyle name="Moeda 3 2 2" xfId="43"/>
    <cellStyle name="Moeda 3 3" xfId="33"/>
    <cellStyle name="Moeda 4" xfId="24"/>
    <cellStyle name="Moeda 4 2" xfId="44"/>
    <cellStyle name="Moeda 5" xfId="13"/>
    <cellStyle name="Moeda 5 2" xfId="37"/>
    <cellStyle name="Moeda 6" xfId="30"/>
    <cellStyle name="Normal" xfId="0" builtinId="0"/>
    <cellStyle name="Normal 10" xfId="3"/>
    <cellStyle name="Normal 2" xfId="11"/>
    <cellStyle name="Normal 2 2 2" xfId="21"/>
    <cellStyle name="Normal 3 2" xfId="20"/>
    <cellStyle name="Normal 32 2 2" xfId="1"/>
    <cellStyle name="Normal_Orçamento Padrão-03-2014" xfId="27"/>
    <cellStyle name="Porcentagem" xfId="28" builtinId="5"/>
    <cellStyle name="Porcentagem 2 2" xfId="22"/>
    <cellStyle name="Porcentagem 3" xfId="10"/>
    <cellStyle name="Separador de milhares 3 2" xfId="8"/>
    <cellStyle name="Separador de milhares 3 2 2" xfId="15"/>
    <cellStyle name="Separador de milhares 3 2 2 2" xfId="39"/>
    <cellStyle name="Separador de milhares 3 2 3" xfId="34"/>
    <cellStyle name="Separador de milhares 6" xfId="9"/>
    <cellStyle name="Separador de milhares 6 2" xfId="16"/>
    <cellStyle name="Separador de milhares 6 2 2" xfId="40"/>
    <cellStyle name="Separador de milhares 6 3" xfId="35"/>
    <cellStyle name="Vírgula" xfId="26" builtinId="3"/>
    <cellStyle name="Vírgula 2" xfId="12"/>
    <cellStyle name="Vírgula 2 2" xfId="17"/>
    <cellStyle name="Vírgula 2 2 2" xfId="41"/>
    <cellStyle name="Vírgula 2 3" xfId="36"/>
    <cellStyle name="Vírgula 3" xfId="25"/>
    <cellStyle name="Vírgula 3 2" xfId="45"/>
  </cellStyles>
  <dxfs count="0"/>
  <tableStyles count="0" defaultTableStyle="TableStyleMedium2" defaultPivotStyle="PivotStyleLight16"/>
  <colors>
    <mruColors>
      <color rgb="FF79F07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388409</xdr:colOff>
      <xdr:row>2</xdr:row>
      <xdr:rowOff>158751</xdr:rowOff>
    </xdr:from>
    <xdr:to>
      <xdr:col>3</xdr:col>
      <xdr:colOff>44954</xdr:colOff>
      <xdr:row>4</xdr:row>
      <xdr:rowOff>84713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92" y="539751"/>
          <a:ext cx="1493045" cy="464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23054</xdr:colOff>
      <xdr:row>11</xdr:row>
      <xdr:rowOff>15022</xdr:rowOff>
    </xdr:from>
    <xdr:to>
      <xdr:col>7</xdr:col>
      <xdr:colOff>1004888</xdr:colOff>
      <xdr:row>11</xdr:row>
      <xdr:rowOff>157164</xdr:rowOff>
    </xdr:to>
    <xdr:sp macro="" textlink="">
      <xdr:nvSpPr>
        <xdr:cNvPr id="2" name="Seta para a esquerda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8605079" y="2320072"/>
          <a:ext cx="981834" cy="142142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21773</xdr:colOff>
      <xdr:row>12</xdr:row>
      <xdr:rowOff>20516</xdr:rowOff>
    </xdr:from>
    <xdr:to>
      <xdr:col>7</xdr:col>
      <xdr:colOff>1003607</xdr:colOff>
      <xdr:row>12</xdr:row>
      <xdr:rowOff>159727</xdr:rowOff>
    </xdr:to>
    <xdr:sp macro="" textlink="">
      <xdr:nvSpPr>
        <xdr:cNvPr id="3" name="Seta para a esquerda 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8603798" y="2497016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22505</xdr:colOff>
      <xdr:row>13</xdr:row>
      <xdr:rowOff>31324</xdr:rowOff>
    </xdr:from>
    <xdr:to>
      <xdr:col>7</xdr:col>
      <xdr:colOff>1004339</xdr:colOff>
      <xdr:row>14</xdr:row>
      <xdr:rowOff>1202</xdr:rowOff>
    </xdr:to>
    <xdr:sp macro="" textlink="">
      <xdr:nvSpPr>
        <xdr:cNvPr id="4" name="Seta para a esquerda 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8604530" y="2679274"/>
          <a:ext cx="981834" cy="141328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pt-BR"/>
            <a:t>co</a:t>
          </a:r>
        </a:p>
      </xdr:txBody>
    </xdr:sp>
    <xdr:clientData/>
  </xdr:twoCellAnchor>
  <xdr:twoCellAnchor>
    <xdr:from>
      <xdr:col>7</xdr:col>
      <xdr:colOff>23788</xdr:colOff>
      <xdr:row>16</xdr:row>
      <xdr:rowOff>10259</xdr:rowOff>
    </xdr:from>
    <xdr:to>
      <xdr:col>7</xdr:col>
      <xdr:colOff>1005622</xdr:colOff>
      <xdr:row>16</xdr:row>
      <xdr:rowOff>149470</xdr:rowOff>
    </xdr:to>
    <xdr:sp macro="" textlink="">
      <xdr:nvSpPr>
        <xdr:cNvPr id="5" name="Seta para a esquerda 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8605813" y="3172559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21165</xdr:colOff>
      <xdr:row>14</xdr:row>
      <xdr:rowOff>21166</xdr:rowOff>
    </xdr:from>
    <xdr:to>
      <xdr:col>7</xdr:col>
      <xdr:colOff>1002999</xdr:colOff>
      <xdr:row>14</xdr:row>
      <xdr:rowOff>160377</xdr:rowOff>
    </xdr:to>
    <xdr:sp macro="" textlink="">
      <xdr:nvSpPr>
        <xdr:cNvPr id="6" name="Seta para a esquerda 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8603190" y="2840566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pt-BR"/>
            <a:t>co</a:t>
          </a:r>
        </a:p>
      </xdr:txBody>
    </xdr:sp>
    <xdr:clientData/>
  </xdr:twoCellAnchor>
  <xdr:oneCellAnchor>
    <xdr:from>
      <xdr:col>2</xdr:col>
      <xdr:colOff>1394809</xdr:colOff>
      <xdr:row>29</xdr:row>
      <xdr:rowOff>15875</xdr:rowOff>
    </xdr:from>
    <xdr:ext cx="3345468" cy="4412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775934" y="5816600"/>
              <a:ext cx="3345468" cy="4412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800" i="0">
                  <a:latin typeface="Arial" panose="020B0604020202020204" pitchFamily="34" charset="0"/>
                  <a:cs typeface="Arial" panose="020B0604020202020204" pitchFamily="34" charset="0"/>
                </a:rPr>
                <a:t>BDI</a:t>
              </a:r>
              <a14:m>
                <m:oMath xmlns:m="http://schemas.openxmlformats.org/officeDocument/2006/math">
                  <m:r>
                    <a:rPr lang="pt-BR" sz="1800" i="0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pt-BR" sz="1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BR" sz="1800" b="0" i="0">
                          <a:latin typeface="Cambria Math" panose="02040503050406030204" pitchFamily="18" charset="0"/>
                        </a:rPr>
                        <m:t>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AC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R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S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G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DF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L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pt-BR" sz="1800" b="0" i="0">
                          <a:latin typeface="Cambria Math" panose="02040503050406030204" pitchFamily="18" charset="0"/>
                        </a:rPr>
                        <m:t>(1−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I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</m:t>
                      </m:r>
                    </m:den>
                  </m:f>
                  <m:r>
                    <a:rPr lang="pt-BR" sz="1800" b="0" i="0">
                      <a:latin typeface="Cambria Math" panose="02040503050406030204" pitchFamily="18" charset="0"/>
                    </a:rPr>
                    <m:t>−1</m:t>
                  </m:r>
                </m:oMath>
              </a14:m>
              <a:endParaRPr lang="pt-BR" sz="18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775934" y="5816600"/>
              <a:ext cx="3345468" cy="4412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800" i="0">
                  <a:latin typeface="Arial" panose="020B0604020202020204" pitchFamily="34" charset="0"/>
                  <a:cs typeface="Arial" panose="020B0604020202020204" pitchFamily="34" charset="0"/>
                </a:rPr>
                <a:t>BDI</a:t>
              </a:r>
              <a:r>
                <a:rPr lang="pt-BR" sz="1800" i="0">
                  <a:latin typeface="Cambria Math" panose="02040503050406030204" pitchFamily="18" charset="0"/>
                </a:rPr>
                <a:t>=(</a:t>
              </a:r>
              <a:r>
                <a:rPr lang="pt-BR" sz="1800" b="0" i="0">
                  <a:latin typeface="Cambria Math" panose="02040503050406030204" pitchFamily="18" charset="0"/>
                </a:rPr>
                <a:t>(1+AC+R+S+G)(1+DF)(1+L))/((1−I))−1</a:t>
              </a:r>
              <a:endParaRPr lang="pt-BR" sz="18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3.20.50%20-%20EQUIPE%20DE%20INFRAESTRUTURA\005%20N&#218;CLEO%20AVAN&#199;ADO%20DE%20CAPACITA&#199;&#195;O\APIAC&#193;S\004%20-%20PLANILHA%20DE%20MEDI&#199;&#195;O\Planilha%20Or&#231;amentaria%20Apiacas%20REV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3.20.50%20-%20EQUIPE%20DE%20INFRAESTRUTURA\005%20N&#218;CLEO%20AVAN&#199;ADO%20DE%20CAPACITA&#199;&#195;O\NOVA%20CANA&#195;%20DO%20NORTE\004%20-%20PLANILHAS\NAC%20-%20PLANILHA%20OR&#199;AMENT&#193;R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3.20.50%20-%20EQUIPE%20DE%20INFRAESTRUTURA\005%20N&#218;CLEO%20AVAN&#199;ADO%20DE%20CAPACITA&#199;&#195;O\NOVA%20CANA&#195;%20DO%20NORTE\004%20-%20PLANILHAS\PLanilha%20Proj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 Referência"/>
      <sheetName val="Composição"/>
      <sheetName val="COTAÇÃO"/>
      <sheetName val="Muro+Gradil"/>
      <sheetName val="Pilares"/>
      <sheetName val="Vigas Cobertura"/>
      <sheetName val="Vigas Cinta"/>
      <sheetName val="Total Aço"/>
      <sheetName val="Concreto e Forma"/>
      <sheetName val="Chapisco-laje-reboco-piso"/>
      <sheetName val="Portas e Janelas"/>
      <sheetName val="Granito"/>
      <sheetName val="Alvenaria"/>
      <sheetName val="Placa da Obra"/>
      <sheetName val="Cobertura"/>
      <sheetName val="spda"/>
    </sheetNames>
    <sheetDataSet>
      <sheetData sheetId="0"/>
      <sheetData sheetId="1">
        <row r="189">
          <cell r="C189" t="str">
            <v>M²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"/>
      <sheetName val="COMPOSIÇÕES"/>
      <sheetName val="MEMORIAL CALC."/>
      <sheetName val="CRONOGRAMA"/>
      <sheetName val="BDI"/>
      <sheetName val="SOLUM"/>
    </sheetNames>
    <sheetDataSet>
      <sheetData sheetId="0">
        <row r="6">
          <cell r="B6" t="str">
            <v>OBRA DO SENAR NOVA CANAÃ DO NORTE</v>
          </cell>
        </row>
        <row r="8">
          <cell r="C8" t="str">
            <v>BDI:</v>
          </cell>
        </row>
      </sheetData>
      <sheetData sheetId="1">
        <row r="11">
          <cell r="A11" t="str">
            <v>1.0</v>
          </cell>
        </row>
      </sheetData>
      <sheetData sheetId="2"/>
      <sheetData sheetId="3"/>
      <sheetData sheetId="4"/>
      <sheetData sheetId="5">
        <row r="25">
          <cell r="G25">
            <v>28.347674918197008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"/>
      <sheetName val="COMPOSIÇÕES"/>
      <sheetName val="MEMORIAL CALC."/>
      <sheetName val="CRONOGRAMA"/>
      <sheetName val="BDI"/>
      <sheetName val="SOLUM"/>
    </sheetNames>
    <sheetDataSet>
      <sheetData sheetId="0">
        <row r="6">
          <cell r="B6" t="str">
            <v>OBRA DO SENAR NOVA CANAÃ DO NORTE</v>
          </cell>
          <cell r="C6" t="str">
            <v>REF.:</v>
          </cell>
        </row>
        <row r="8">
          <cell r="C8" t="str">
            <v>BDI: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F88"/>
  <sheetViews>
    <sheetView tabSelected="1" topLeftCell="A61" zoomScale="115" zoomScaleNormal="115" workbookViewId="0">
      <selection activeCell="I2" sqref="I2:I3"/>
    </sheetView>
  </sheetViews>
  <sheetFormatPr defaultColWidth="9.109375" defaultRowHeight="13.8" x14ac:dyDescent="0.25"/>
  <cols>
    <col min="1" max="1" width="4.88671875" style="55" customWidth="1"/>
    <col min="2" max="2" width="7.109375" style="150" customWidth="1"/>
    <col min="3" max="3" width="19.109375" style="56" customWidth="1"/>
    <col min="4" max="4" width="88.88671875" style="57" customWidth="1"/>
    <col min="5" max="5" width="5.6640625" style="56" customWidth="1"/>
    <col min="6" max="6" width="10.88671875" style="56" customWidth="1"/>
    <col min="7" max="7" width="20.109375" style="58" bestFit="1" customWidth="1"/>
    <col min="8" max="8" width="16.6640625" style="59" customWidth="1"/>
    <col min="9" max="9" width="25.5546875" style="59" customWidth="1"/>
    <col min="10" max="10" width="1.109375" style="55" customWidth="1"/>
    <col min="11" max="16384" width="9.109375" style="56"/>
  </cols>
  <sheetData>
    <row r="1" spans="1:32" ht="14.4" thickBot="1" x14ac:dyDescent="0.3"/>
    <row r="2" spans="1:32" ht="27" customHeight="1" x14ac:dyDescent="0.25">
      <c r="B2" s="331" t="s">
        <v>144</v>
      </c>
      <c r="C2" s="332"/>
      <c r="D2" s="332"/>
      <c r="E2" s="332"/>
      <c r="F2" s="332"/>
      <c r="G2" s="332"/>
      <c r="H2" s="333"/>
      <c r="I2" s="326" t="s">
        <v>277</v>
      </c>
      <c r="J2" s="328"/>
    </row>
    <row r="3" spans="1:32" ht="27" customHeight="1" thickBot="1" x14ac:dyDescent="0.3">
      <c r="B3" s="334"/>
      <c r="C3" s="335"/>
      <c r="D3" s="335"/>
      <c r="E3" s="335"/>
      <c r="F3" s="335"/>
      <c r="G3" s="335"/>
      <c r="H3" s="336"/>
      <c r="I3" s="327"/>
      <c r="J3" s="328"/>
    </row>
    <row r="4" spans="1:32" ht="15" customHeight="1" x14ac:dyDescent="0.25">
      <c r="B4" s="334"/>
      <c r="C4" s="335"/>
      <c r="D4" s="335"/>
      <c r="E4" s="335"/>
      <c r="F4" s="335"/>
      <c r="G4" s="335"/>
      <c r="H4" s="336"/>
      <c r="I4" s="329" t="s">
        <v>272</v>
      </c>
      <c r="J4" s="60">
        <v>0.24510000000000001</v>
      </c>
    </row>
    <row r="5" spans="1:32" ht="33" customHeight="1" thickBot="1" x14ac:dyDescent="0.3">
      <c r="B5" s="337"/>
      <c r="C5" s="338"/>
      <c r="D5" s="338"/>
      <c r="E5" s="338"/>
      <c r="F5" s="338"/>
      <c r="G5" s="338"/>
      <c r="H5" s="339"/>
      <c r="I5" s="330"/>
      <c r="J5" s="61"/>
    </row>
    <row r="6" spans="1:32" ht="6" customHeight="1" thickBot="1" x14ac:dyDescent="0.3">
      <c r="B6" s="151"/>
      <c r="C6" s="55"/>
      <c r="D6" s="62"/>
      <c r="E6" s="63"/>
      <c r="F6" s="63"/>
      <c r="G6" s="64"/>
      <c r="H6" s="65"/>
      <c r="I6" s="65"/>
    </row>
    <row r="7" spans="1:32" ht="45.75" customHeight="1" thickBot="1" x14ac:dyDescent="0.3">
      <c r="B7" s="66" t="s">
        <v>2</v>
      </c>
      <c r="C7" s="66" t="s">
        <v>8</v>
      </c>
      <c r="D7" s="67" t="s">
        <v>3</v>
      </c>
      <c r="E7" s="68" t="s">
        <v>4</v>
      </c>
      <c r="F7" s="68" t="s">
        <v>34</v>
      </c>
      <c r="G7" s="69" t="s">
        <v>36</v>
      </c>
      <c r="H7" s="70" t="s">
        <v>126</v>
      </c>
      <c r="I7" s="71" t="s">
        <v>5</v>
      </c>
      <c r="J7" s="72"/>
    </row>
    <row r="8" spans="1:32" x14ac:dyDescent="0.25">
      <c r="B8" s="73">
        <v>1</v>
      </c>
      <c r="C8" s="74"/>
      <c r="D8" s="75" t="s">
        <v>33</v>
      </c>
      <c r="E8" s="76"/>
      <c r="F8" s="76"/>
      <c r="G8" s="77"/>
      <c r="H8" s="78"/>
      <c r="I8" s="79"/>
    </row>
    <row r="9" spans="1:32" s="55" customFormat="1" ht="16.5" customHeight="1" x14ac:dyDescent="0.25">
      <c r="B9" s="80" t="s">
        <v>99</v>
      </c>
      <c r="C9" s="80">
        <v>90777</v>
      </c>
      <c r="D9" s="103" t="s">
        <v>163</v>
      </c>
      <c r="E9" s="80" t="s">
        <v>23</v>
      </c>
      <c r="F9" s="81">
        <v>24</v>
      </c>
      <c r="G9" s="104">
        <v>93.77</v>
      </c>
      <c r="H9" s="82">
        <f>G9*1.2835</f>
        <v>120.35379500000001</v>
      </c>
      <c r="I9" s="104">
        <f>TRUNC(H9*F9,2)</f>
        <v>2888.49</v>
      </c>
      <c r="K9" s="324"/>
      <c r="L9" s="324"/>
      <c r="M9" s="324"/>
      <c r="N9" s="324"/>
      <c r="O9" s="324"/>
      <c r="P9" s="324"/>
      <c r="Q9" s="324"/>
    </row>
    <row r="10" spans="1:32" s="55" customFormat="1" ht="16.5" customHeight="1" x14ac:dyDescent="0.25">
      <c r="B10" s="80" t="s">
        <v>38</v>
      </c>
      <c r="C10" s="159">
        <v>90776</v>
      </c>
      <c r="D10" s="105" t="s">
        <v>35</v>
      </c>
      <c r="E10" s="80" t="s">
        <v>23</v>
      </c>
      <c r="F10" s="81">
        <v>84</v>
      </c>
      <c r="G10" s="104">
        <v>23.72</v>
      </c>
      <c r="H10" s="82">
        <f>G10*1.2835</f>
        <v>30.44462</v>
      </c>
      <c r="I10" s="104">
        <f>TRUNC(H10*F10,2)</f>
        <v>2557.34</v>
      </c>
      <c r="K10" s="324"/>
      <c r="L10" s="324"/>
      <c r="M10" s="324"/>
      <c r="N10" s="324"/>
      <c r="O10" s="324"/>
      <c r="P10" s="324"/>
      <c r="Q10" s="324"/>
    </row>
    <row r="11" spans="1:32" s="87" customFormat="1" x14ac:dyDescent="0.25">
      <c r="A11" s="55"/>
      <c r="B11" s="83"/>
      <c r="C11" s="112"/>
      <c r="D11" s="113"/>
      <c r="E11" s="114"/>
      <c r="F11" s="84"/>
      <c r="G11" s="85" t="s">
        <v>1</v>
      </c>
      <c r="H11" s="86"/>
      <c r="I11" s="86">
        <f>SUM(I9:I10)</f>
        <v>5445.83</v>
      </c>
      <c r="J11" s="55"/>
      <c r="K11" s="324"/>
      <c r="L11" s="324"/>
      <c r="M11" s="324"/>
      <c r="N11" s="324"/>
      <c r="O11" s="324"/>
      <c r="P11" s="324"/>
      <c r="Q11" s="324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</row>
    <row r="12" spans="1:32" s="55" customFormat="1" x14ac:dyDescent="0.25">
      <c r="B12" s="88"/>
      <c r="C12" s="115"/>
      <c r="D12" s="116"/>
      <c r="E12" s="117"/>
      <c r="F12" s="89"/>
      <c r="G12" s="90"/>
      <c r="H12" s="91"/>
      <c r="I12" s="91"/>
      <c r="K12" s="324"/>
      <c r="L12" s="324"/>
      <c r="M12" s="324"/>
      <c r="N12" s="324"/>
      <c r="O12" s="324"/>
      <c r="P12" s="324"/>
      <c r="Q12" s="324"/>
    </row>
    <row r="13" spans="1:32" x14ac:dyDescent="0.25">
      <c r="A13" s="56"/>
      <c r="B13" s="92">
        <v>2</v>
      </c>
      <c r="C13" s="93"/>
      <c r="D13" s="94" t="s">
        <v>71</v>
      </c>
      <c r="E13" s="95"/>
      <c r="F13" s="93"/>
      <c r="G13" s="96"/>
      <c r="H13" s="96"/>
      <c r="I13" s="96"/>
      <c r="J13" s="56"/>
      <c r="K13" s="324"/>
      <c r="L13" s="324"/>
      <c r="M13" s="324"/>
      <c r="N13" s="324"/>
      <c r="O13" s="324"/>
      <c r="P13" s="324"/>
      <c r="Q13" s="324"/>
    </row>
    <row r="14" spans="1:32" s="55" customFormat="1" ht="17.25" customHeight="1" x14ac:dyDescent="0.25">
      <c r="B14" s="80" t="s">
        <v>39</v>
      </c>
      <c r="C14" s="242" t="s">
        <v>10</v>
      </c>
      <c r="D14" s="106" t="s">
        <v>59</v>
      </c>
      <c r="E14" s="107" t="s">
        <v>24</v>
      </c>
      <c r="F14" s="108">
        <v>1</v>
      </c>
      <c r="G14" s="104">
        <f>TRUNC(Composições!F2,2)</f>
        <v>488.29</v>
      </c>
      <c r="H14" s="82">
        <f>G14*1.2835</f>
        <v>626.72021500000005</v>
      </c>
      <c r="I14" s="104">
        <f>TRUNC(H14*F14,2)</f>
        <v>626.72</v>
      </c>
      <c r="K14" s="324"/>
      <c r="L14" s="324"/>
      <c r="M14" s="324"/>
      <c r="N14" s="324"/>
      <c r="O14" s="324"/>
      <c r="P14" s="324"/>
      <c r="Q14" s="324"/>
    </row>
    <row r="15" spans="1:32" s="55" customFormat="1" ht="27.6" x14ac:dyDescent="0.25">
      <c r="B15" s="80" t="s">
        <v>56</v>
      </c>
      <c r="C15" s="80" t="s">
        <v>31</v>
      </c>
      <c r="D15" s="106" t="s">
        <v>60</v>
      </c>
      <c r="E15" s="80" t="s">
        <v>0</v>
      </c>
      <c r="F15" s="108">
        <v>1</v>
      </c>
      <c r="G15" s="104">
        <f>Composições!F6</f>
        <v>305.52920000000006</v>
      </c>
      <c r="H15" s="82">
        <f>G15*1.2835</f>
        <v>392.1467282000001</v>
      </c>
      <c r="I15" s="104">
        <f>TRUNC(H15*F15,2)</f>
        <v>392.14</v>
      </c>
      <c r="K15" s="324"/>
      <c r="L15" s="324"/>
      <c r="M15" s="324"/>
      <c r="N15" s="324"/>
      <c r="O15" s="324"/>
      <c r="P15" s="324"/>
      <c r="Q15" s="324"/>
    </row>
    <row r="16" spans="1:32" s="55" customFormat="1" ht="15" customHeight="1" x14ac:dyDescent="0.25">
      <c r="B16" s="80" t="s">
        <v>86</v>
      </c>
      <c r="C16" s="80" t="s">
        <v>57</v>
      </c>
      <c r="D16" s="106" t="s">
        <v>58</v>
      </c>
      <c r="E16" s="80" t="s">
        <v>24</v>
      </c>
      <c r="F16" s="108">
        <v>2</v>
      </c>
      <c r="G16" s="104">
        <v>350</v>
      </c>
      <c r="H16" s="82">
        <f>G16*1.2835</f>
        <v>449.22500000000002</v>
      </c>
      <c r="I16" s="104">
        <f>TRUNC(H16*F16,2)</f>
        <v>898.45</v>
      </c>
      <c r="K16" s="324"/>
      <c r="L16" s="324"/>
      <c r="M16" s="324"/>
      <c r="N16" s="324"/>
      <c r="O16" s="324"/>
      <c r="P16" s="324"/>
      <c r="Q16" s="324"/>
    </row>
    <row r="17" spans="1:32" ht="15" customHeight="1" x14ac:dyDescent="0.25">
      <c r="A17" s="56"/>
      <c r="B17" s="83"/>
      <c r="C17" s="118"/>
      <c r="D17" s="119"/>
      <c r="E17" s="114"/>
      <c r="F17" s="120"/>
      <c r="G17" s="85" t="s">
        <v>1</v>
      </c>
      <c r="H17" s="121"/>
      <c r="I17" s="86">
        <f>SUM(I14:I16)</f>
        <v>1917.31</v>
      </c>
      <c r="J17" s="56"/>
      <c r="K17" s="324"/>
      <c r="L17" s="324"/>
      <c r="M17" s="324"/>
      <c r="N17" s="324"/>
      <c r="O17" s="324"/>
      <c r="P17" s="324"/>
      <c r="Q17" s="324"/>
    </row>
    <row r="18" spans="1:32" ht="15" customHeight="1" x14ac:dyDescent="0.25">
      <c r="A18" s="56"/>
      <c r="B18" s="122"/>
      <c r="C18" s="123"/>
      <c r="D18" s="124"/>
      <c r="E18" s="125"/>
      <c r="F18" s="126"/>
      <c r="G18" s="127"/>
      <c r="H18" s="128"/>
      <c r="I18" s="129"/>
      <c r="J18" s="56"/>
    </row>
    <row r="19" spans="1:32" x14ac:dyDescent="0.25">
      <c r="B19" s="73">
        <v>3</v>
      </c>
      <c r="C19" s="74"/>
      <c r="D19" s="75" t="s">
        <v>48</v>
      </c>
      <c r="E19" s="76"/>
      <c r="F19" s="76"/>
      <c r="G19" s="77"/>
      <c r="H19" s="78"/>
      <c r="I19" s="79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</row>
    <row r="20" spans="1:32" s="55" customFormat="1" x14ac:dyDescent="0.25">
      <c r="B20" s="80" t="s">
        <v>40</v>
      </c>
      <c r="C20" s="80" t="s">
        <v>78</v>
      </c>
      <c r="D20" s="110" t="s">
        <v>49</v>
      </c>
      <c r="E20" s="80" t="s">
        <v>24</v>
      </c>
      <c r="F20" s="81">
        <v>1</v>
      </c>
      <c r="G20" s="104">
        <f>Composições!F13</f>
        <v>857.46</v>
      </c>
      <c r="H20" s="82">
        <f>G20*1.2835</f>
        <v>1100.5499100000002</v>
      </c>
      <c r="I20" s="104">
        <f>TRUNC(H20*F20,2)</f>
        <v>1100.54</v>
      </c>
    </row>
    <row r="21" spans="1:32" s="55" customFormat="1" x14ac:dyDescent="0.25">
      <c r="B21" s="80" t="s">
        <v>37</v>
      </c>
      <c r="C21" s="111" t="s">
        <v>72</v>
      </c>
      <c r="D21" s="110" t="s">
        <v>52</v>
      </c>
      <c r="E21" s="80" t="s">
        <v>24</v>
      </c>
      <c r="F21" s="81">
        <v>1</v>
      </c>
      <c r="G21" s="104">
        <f>Composições!F17</f>
        <v>856.8599999999999</v>
      </c>
      <c r="H21" s="82">
        <f>G21*1.2835</f>
        <v>1099.77981</v>
      </c>
      <c r="I21" s="104">
        <f>TRUNC(H21*F21,2)</f>
        <v>1099.77</v>
      </c>
    </row>
    <row r="22" spans="1:32" s="87" customFormat="1" x14ac:dyDescent="0.25">
      <c r="A22" s="55"/>
      <c r="B22" s="83"/>
      <c r="C22" s="112"/>
      <c r="D22" s="130"/>
      <c r="E22" s="131"/>
      <c r="F22" s="132"/>
      <c r="G22" s="109" t="s">
        <v>1</v>
      </c>
      <c r="H22" s="133"/>
      <c r="I22" s="86">
        <f>SUM(I20:I21)</f>
        <v>2200.31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</row>
    <row r="23" spans="1:32" s="87" customFormat="1" ht="15" customHeight="1" x14ac:dyDescent="0.25">
      <c r="A23" s="55"/>
      <c r="B23" s="302"/>
      <c r="C23" s="303"/>
      <c r="D23" s="303"/>
      <c r="E23" s="303"/>
      <c r="F23" s="303"/>
      <c r="G23" s="303"/>
      <c r="H23" s="303"/>
      <c r="I23" s="304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</row>
    <row r="24" spans="1:32" x14ac:dyDescent="0.25">
      <c r="B24" s="73">
        <v>4</v>
      </c>
      <c r="C24" s="74"/>
      <c r="D24" s="134" t="s">
        <v>219</v>
      </c>
      <c r="E24" s="135"/>
      <c r="F24" s="135"/>
      <c r="G24" s="136"/>
      <c r="H24" s="137"/>
      <c r="I24" s="138"/>
    </row>
    <row r="25" spans="1:32" s="55" customFormat="1" ht="17.25" customHeight="1" x14ac:dyDescent="0.25">
      <c r="B25" s="80" t="s">
        <v>41</v>
      </c>
      <c r="C25" s="139" t="s">
        <v>77</v>
      </c>
      <c r="D25" s="110" t="str">
        <f>Composições!B21</f>
        <v>REMOÇÃO DE RUFO, CALHAS E PINGADEIRA SEM REAPROVEITAMENTO</v>
      </c>
      <c r="E25" s="80" t="s">
        <v>6</v>
      </c>
      <c r="F25" s="81">
        <f>Quantitativos!D7+Quantitativos!D8+Quantitativos!D9</f>
        <v>493.73</v>
      </c>
      <c r="G25" s="104">
        <f>Composições!F21</f>
        <v>4.1772999999999998</v>
      </c>
      <c r="H25" s="82">
        <f t="shared" ref="H25:H32" si="0">G25*1.2835</f>
        <v>5.3615645499999998</v>
      </c>
      <c r="I25" s="104">
        <f t="shared" ref="I25:I32" si="1">TRUNC(H25*F25,2)</f>
        <v>2647.16</v>
      </c>
    </row>
    <row r="26" spans="1:32" s="55" customFormat="1" ht="27.6" x14ac:dyDescent="0.25">
      <c r="B26" s="80" t="s">
        <v>74</v>
      </c>
      <c r="C26" s="139">
        <v>97647</v>
      </c>
      <c r="D26" s="110" t="s">
        <v>139</v>
      </c>
      <c r="E26" s="80" t="s">
        <v>0</v>
      </c>
      <c r="F26" s="81">
        <v>134.9</v>
      </c>
      <c r="G26" s="104">
        <v>2.65</v>
      </c>
      <c r="H26" s="82">
        <f t="shared" si="0"/>
        <v>3.401275</v>
      </c>
      <c r="I26" s="104">
        <f t="shared" si="1"/>
        <v>458.83</v>
      </c>
    </row>
    <row r="27" spans="1:32" s="55" customFormat="1" x14ac:dyDescent="0.25">
      <c r="B27" s="80" t="s">
        <v>145</v>
      </c>
      <c r="C27" s="139" t="s">
        <v>110</v>
      </c>
      <c r="D27" s="110" t="str">
        <f>Composições!B32</f>
        <v xml:space="preserve">RETIRADA E RECOLOCAÇÃO DE TRAMA METÁLICA </v>
      </c>
      <c r="E27" s="80" t="s">
        <v>0</v>
      </c>
      <c r="F27" s="81">
        <f>Quantitativos!D6</f>
        <v>23.3</v>
      </c>
      <c r="G27" s="104">
        <f>Composições!F32</f>
        <v>39.058499999999995</v>
      </c>
      <c r="H27" s="82">
        <f t="shared" si="0"/>
        <v>50.131584749999995</v>
      </c>
      <c r="I27" s="104">
        <f t="shared" si="1"/>
        <v>1168.06</v>
      </c>
    </row>
    <row r="28" spans="1:32" s="55" customFormat="1" ht="41.4" x14ac:dyDescent="0.25">
      <c r="B28" s="80" t="s">
        <v>87</v>
      </c>
      <c r="C28" s="140">
        <v>94210</v>
      </c>
      <c r="D28" s="110" t="s">
        <v>140</v>
      </c>
      <c r="E28" s="80" t="s">
        <v>0</v>
      </c>
      <c r="F28" s="81">
        <v>134.9</v>
      </c>
      <c r="G28" s="104">
        <v>51.34</v>
      </c>
      <c r="H28" s="82">
        <f t="shared" si="0"/>
        <v>65.894890000000004</v>
      </c>
      <c r="I28" s="104">
        <f t="shared" si="1"/>
        <v>8889.2199999999993</v>
      </c>
    </row>
    <row r="29" spans="1:32" s="55" customFormat="1" ht="27.6" x14ac:dyDescent="0.25">
      <c r="B29" s="80" t="s">
        <v>88</v>
      </c>
      <c r="C29" s="80">
        <v>94228</v>
      </c>
      <c r="D29" s="141" t="s">
        <v>16</v>
      </c>
      <c r="E29" s="80" t="s">
        <v>6</v>
      </c>
      <c r="F29" s="81">
        <v>25.18</v>
      </c>
      <c r="G29" s="142">
        <v>89.45</v>
      </c>
      <c r="H29" s="82">
        <f t="shared" si="0"/>
        <v>114.80907500000001</v>
      </c>
      <c r="I29" s="104">
        <f t="shared" si="1"/>
        <v>2890.89</v>
      </c>
    </row>
    <row r="30" spans="1:32" s="55" customFormat="1" ht="27.6" x14ac:dyDescent="0.25">
      <c r="B30" s="80" t="s">
        <v>89</v>
      </c>
      <c r="C30" s="80">
        <v>94231</v>
      </c>
      <c r="D30" s="141" t="s">
        <v>17</v>
      </c>
      <c r="E30" s="80" t="s">
        <v>6</v>
      </c>
      <c r="F30" s="81">
        <v>63.85</v>
      </c>
      <c r="G30" s="142">
        <v>52.3</v>
      </c>
      <c r="H30" s="82">
        <f t="shared" si="0"/>
        <v>67.127049999999997</v>
      </c>
      <c r="I30" s="104">
        <f t="shared" si="1"/>
        <v>4286.0600000000004</v>
      </c>
    </row>
    <row r="31" spans="1:32" s="55" customFormat="1" ht="27.6" x14ac:dyDescent="0.25">
      <c r="B31" s="80" t="s">
        <v>142</v>
      </c>
      <c r="C31" s="80" t="s">
        <v>160</v>
      </c>
      <c r="D31" s="143" t="s">
        <v>146</v>
      </c>
      <c r="E31" s="144" t="s">
        <v>0</v>
      </c>
      <c r="F31" s="145">
        <v>80.94</v>
      </c>
      <c r="G31" s="146">
        <f>Composições!F65</f>
        <v>49.75023800000001</v>
      </c>
      <c r="H31" s="82">
        <f t="shared" si="0"/>
        <v>63.854430473000015</v>
      </c>
      <c r="I31" s="104">
        <f t="shared" si="1"/>
        <v>5168.37</v>
      </c>
    </row>
    <row r="32" spans="1:32" s="55" customFormat="1" ht="27.6" x14ac:dyDescent="0.25">
      <c r="B32" s="80" t="s">
        <v>143</v>
      </c>
      <c r="C32" s="80">
        <v>96114</v>
      </c>
      <c r="D32" s="143" t="s">
        <v>76</v>
      </c>
      <c r="E32" s="144" t="s">
        <v>0</v>
      </c>
      <c r="F32" s="145">
        <f>Quantitativos!D10</f>
        <v>6.25</v>
      </c>
      <c r="G32" s="146">
        <v>78.56</v>
      </c>
      <c r="H32" s="82">
        <f t="shared" si="0"/>
        <v>100.83176</v>
      </c>
      <c r="I32" s="104">
        <f t="shared" si="1"/>
        <v>630.19000000000005</v>
      </c>
    </row>
    <row r="33" spans="2:9" x14ac:dyDescent="0.25">
      <c r="B33" s="74"/>
      <c r="C33" s="147"/>
      <c r="D33" s="147"/>
      <c r="E33" s="147"/>
      <c r="F33" s="147"/>
      <c r="G33" s="85" t="s">
        <v>1</v>
      </c>
      <c r="H33" s="148"/>
      <c r="I33" s="86">
        <f>SUM(I25:I32)</f>
        <v>26138.779999999995</v>
      </c>
    </row>
    <row r="34" spans="2:9" x14ac:dyDescent="0.25">
      <c r="B34" s="152"/>
      <c r="C34" s="97"/>
      <c r="D34" s="97"/>
      <c r="E34" s="97"/>
      <c r="F34" s="97"/>
      <c r="G34" s="98"/>
      <c r="H34" s="99"/>
      <c r="I34" s="100"/>
    </row>
    <row r="35" spans="2:9" x14ac:dyDescent="0.25">
      <c r="B35" s="73">
        <v>5</v>
      </c>
      <c r="C35" s="73"/>
      <c r="D35" s="160" t="s">
        <v>156</v>
      </c>
      <c r="E35" s="161"/>
      <c r="F35" s="161"/>
      <c r="G35" s="162"/>
      <c r="H35" s="163"/>
      <c r="I35" s="163"/>
    </row>
    <row r="36" spans="2:9" x14ac:dyDescent="0.25">
      <c r="B36" s="80" t="s">
        <v>132</v>
      </c>
      <c r="C36" s="139" t="s">
        <v>161</v>
      </c>
      <c r="D36" s="110" t="s">
        <v>159</v>
      </c>
      <c r="E36" s="80" t="s">
        <v>0</v>
      </c>
      <c r="F36" s="81">
        <f>5*1.5</f>
        <v>7.5</v>
      </c>
      <c r="G36" s="104">
        <f>Composições!F75</f>
        <v>2.4013999999999998</v>
      </c>
      <c r="H36" s="82">
        <f>G36*1.2835</f>
        <v>3.0821969</v>
      </c>
      <c r="I36" s="104">
        <f>TRUNC(H36*F36,2)</f>
        <v>23.11</v>
      </c>
    </row>
    <row r="37" spans="2:9" ht="41.4" x14ac:dyDescent="0.25">
      <c r="B37" s="80" t="s">
        <v>133</v>
      </c>
      <c r="C37" s="80">
        <v>87893</v>
      </c>
      <c r="D37" s="106" t="s">
        <v>157</v>
      </c>
      <c r="E37" s="80" t="s">
        <v>0</v>
      </c>
      <c r="F37" s="81">
        <f t="shared" ref="F37:F38" si="2">2.5*1.5</f>
        <v>3.75</v>
      </c>
      <c r="G37" s="104">
        <v>6.04</v>
      </c>
      <c r="H37" s="82">
        <f>G37*1.2835</f>
        <v>7.7523400000000002</v>
      </c>
      <c r="I37" s="104">
        <f>TRUNC(H37*F37,2)</f>
        <v>29.07</v>
      </c>
    </row>
    <row r="38" spans="2:9" ht="41.4" x14ac:dyDescent="0.25">
      <c r="B38" s="80" t="s">
        <v>134</v>
      </c>
      <c r="C38" s="80">
        <v>89173</v>
      </c>
      <c r="D38" s="106" t="s">
        <v>158</v>
      </c>
      <c r="E38" s="80" t="s">
        <v>0</v>
      </c>
      <c r="F38" s="81">
        <f t="shared" si="2"/>
        <v>3.75</v>
      </c>
      <c r="G38" s="104">
        <v>30.14</v>
      </c>
      <c r="H38" s="82">
        <f>G38*1.2835</f>
        <v>38.684690000000003</v>
      </c>
      <c r="I38" s="104">
        <f>TRUNC(H38*F38,2)</f>
        <v>145.06</v>
      </c>
    </row>
    <row r="39" spans="2:9" x14ac:dyDescent="0.25">
      <c r="B39" s="74"/>
      <c r="C39" s="147"/>
      <c r="D39" s="147"/>
      <c r="E39" s="147"/>
      <c r="F39" s="147"/>
      <c r="G39" s="85" t="s">
        <v>1</v>
      </c>
      <c r="H39" s="148"/>
      <c r="I39" s="86">
        <f>SUM(I36:I38)</f>
        <v>197.24</v>
      </c>
    </row>
    <row r="40" spans="2:9" x14ac:dyDescent="0.25">
      <c r="B40" s="157"/>
      <c r="C40" s="153"/>
      <c r="D40" s="158"/>
      <c r="E40" s="153"/>
      <c r="F40" s="153"/>
      <c r="G40" s="154"/>
      <c r="H40" s="155"/>
      <c r="I40" s="156"/>
    </row>
    <row r="41" spans="2:9" x14ac:dyDescent="0.25">
      <c r="B41" s="164">
        <v>6</v>
      </c>
      <c r="C41" s="165"/>
      <c r="D41" s="166" t="s">
        <v>182</v>
      </c>
      <c r="E41" s="166"/>
      <c r="F41" s="166"/>
      <c r="G41" s="166"/>
      <c r="H41" s="166"/>
      <c r="I41" s="167"/>
    </row>
    <row r="42" spans="2:9" x14ac:dyDescent="0.25">
      <c r="B42" s="168" t="s">
        <v>42</v>
      </c>
      <c r="C42" s="168" t="s">
        <v>176</v>
      </c>
      <c r="D42" s="169" t="s">
        <v>164</v>
      </c>
      <c r="E42" s="170" t="s">
        <v>0</v>
      </c>
      <c r="F42" s="171">
        <f>(F43+F44)*0.4</f>
        <v>100.316</v>
      </c>
      <c r="G42" s="172">
        <f>Composições!F78</f>
        <v>5.2755000000000001</v>
      </c>
      <c r="H42" s="173">
        <f>G42*1.2555</f>
        <v>6.6233902500000008</v>
      </c>
      <c r="I42" s="104">
        <f t="shared" ref="I42:I50" si="3">TRUNC(H42*F42,2)</f>
        <v>664.43</v>
      </c>
    </row>
    <row r="43" spans="2:9" x14ac:dyDescent="0.25">
      <c r="B43" s="168" t="s">
        <v>43</v>
      </c>
      <c r="C43" s="168">
        <v>88485</v>
      </c>
      <c r="D43" s="169" t="s">
        <v>165</v>
      </c>
      <c r="E43" s="170" t="s">
        <v>0</v>
      </c>
      <c r="F43" s="171">
        <v>118.32</v>
      </c>
      <c r="G43" s="172">
        <v>1.8</v>
      </c>
      <c r="H43" s="178">
        <f t="shared" ref="H43:H50" si="4">TRUNC(G43*$J$4+G43,2)</f>
        <v>2.2400000000000002</v>
      </c>
      <c r="I43" s="104">
        <f t="shared" si="3"/>
        <v>265.02999999999997</v>
      </c>
    </row>
    <row r="44" spans="2:9" x14ac:dyDescent="0.25">
      <c r="B44" s="168" t="s">
        <v>90</v>
      </c>
      <c r="C44" s="174">
        <v>88496</v>
      </c>
      <c r="D44" s="179" t="s">
        <v>166</v>
      </c>
      <c r="E44" s="170" t="s">
        <v>0</v>
      </c>
      <c r="F44" s="175">
        <v>132.47</v>
      </c>
      <c r="G44" s="176">
        <v>24.32</v>
      </c>
      <c r="H44" s="173">
        <f t="shared" si="4"/>
        <v>30.28</v>
      </c>
      <c r="I44" s="104">
        <f t="shared" si="3"/>
        <v>4011.19</v>
      </c>
    </row>
    <row r="45" spans="2:9" ht="14.25" customHeight="1" x14ac:dyDescent="0.25">
      <c r="B45" s="168" t="s">
        <v>44</v>
      </c>
      <c r="C45" s="174">
        <v>88497</v>
      </c>
      <c r="D45" s="305" t="s">
        <v>167</v>
      </c>
      <c r="E45" s="170" t="s">
        <v>0</v>
      </c>
      <c r="F45" s="175">
        <v>118.38</v>
      </c>
      <c r="G45" s="176">
        <v>14.1</v>
      </c>
      <c r="H45" s="173">
        <f t="shared" si="4"/>
        <v>17.55</v>
      </c>
      <c r="I45" s="104">
        <f t="shared" si="3"/>
        <v>2077.56</v>
      </c>
    </row>
    <row r="46" spans="2:9" x14ac:dyDescent="0.25">
      <c r="B46" s="168" t="s">
        <v>168</v>
      </c>
      <c r="C46" s="174">
        <v>95305</v>
      </c>
      <c r="D46" s="180" t="s">
        <v>169</v>
      </c>
      <c r="E46" s="170" t="s">
        <v>0</v>
      </c>
      <c r="F46" s="175">
        <v>318.62</v>
      </c>
      <c r="G46" s="181">
        <v>11.4</v>
      </c>
      <c r="H46" s="173">
        <f t="shared" si="4"/>
        <v>14.19</v>
      </c>
      <c r="I46" s="104">
        <f t="shared" si="3"/>
        <v>4521.21</v>
      </c>
    </row>
    <row r="47" spans="2:9" ht="27.6" x14ac:dyDescent="0.25">
      <c r="B47" s="168" t="s">
        <v>170</v>
      </c>
      <c r="C47" s="174" t="s">
        <v>180</v>
      </c>
      <c r="D47" s="182" t="s">
        <v>188</v>
      </c>
      <c r="E47" s="174" t="s">
        <v>0</v>
      </c>
      <c r="F47" s="175">
        <v>118.38</v>
      </c>
      <c r="G47" s="176">
        <f>Composições!F81</f>
        <v>11.497558888888889</v>
      </c>
      <c r="H47" s="173">
        <f t="shared" si="4"/>
        <v>14.31</v>
      </c>
      <c r="I47" s="104">
        <f t="shared" si="3"/>
        <v>1694.01</v>
      </c>
    </row>
    <row r="48" spans="2:9" x14ac:dyDescent="0.25">
      <c r="B48" s="168" t="s">
        <v>172</v>
      </c>
      <c r="C48" s="174">
        <v>88496</v>
      </c>
      <c r="D48" s="323" t="s">
        <v>166</v>
      </c>
      <c r="E48" s="144" t="s">
        <v>0</v>
      </c>
      <c r="F48" s="322">
        <v>132.47</v>
      </c>
      <c r="G48" s="176">
        <v>24.32</v>
      </c>
      <c r="H48" s="173">
        <f t="shared" si="4"/>
        <v>30.28</v>
      </c>
      <c r="I48" s="104">
        <f t="shared" si="3"/>
        <v>4011.19</v>
      </c>
    </row>
    <row r="49" spans="2:9" ht="27.6" x14ac:dyDescent="0.25">
      <c r="B49" s="168" t="s">
        <v>173</v>
      </c>
      <c r="C49" s="174" t="s">
        <v>181</v>
      </c>
      <c r="D49" s="182" t="s">
        <v>183</v>
      </c>
      <c r="E49" s="170" t="s">
        <v>0</v>
      </c>
      <c r="F49" s="175">
        <v>148.54</v>
      </c>
      <c r="G49" s="176">
        <f>Composições!F85</f>
        <v>24.764224444444444</v>
      </c>
      <c r="H49" s="173">
        <f t="shared" si="4"/>
        <v>30.83</v>
      </c>
      <c r="I49" s="104">
        <f t="shared" si="3"/>
        <v>4579.4799999999996</v>
      </c>
    </row>
    <row r="50" spans="2:9" ht="27.6" x14ac:dyDescent="0.25">
      <c r="B50" s="168" t="s">
        <v>190</v>
      </c>
      <c r="C50" s="174" t="s">
        <v>189</v>
      </c>
      <c r="D50" s="182" t="s">
        <v>186</v>
      </c>
      <c r="E50" s="183" t="str">
        <f>[1]Composição!C189</f>
        <v>M²</v>
      </c>
      <c r="F50" s="184">
        <v>162.4</v>
      </c>
      <c r="G50" s="185">
        <f>Composições!F90</f>
        <v>31.364224444444446</v>
      </c>
      <c r="H50" s="186">
        <f t="shared" si="4"/>
        <v>39.049999999999997</v>
      </c>
      <c r="I50" s="104">
        <f t="shared" si="3"/>
        <v>6341.72</v>
      </c>
    </row>
    <row r="51" spans="2:9" x14ac:dyDescent="0.25">
      <c r="B51" s="74"/>
      <c r="C51" s="147"/>
      <c r="D51" s="147"/>
      <c r="E51" s="147"/>
      <c r="F51" s="147"/>
      <c r="G51" s="85" t="s">
        <v>1</v>
      </c>
      <c r="H51" s="148"/>
      <c r="I51" s="86">
        <f>SUM(I42:I50)</f>
        <v>28165.82</v>
      </c>
    </row>
    <row r="52" spans="2:9" x14ac:dyDescent="0.25">
      <c r="B52" s="157"/>
      <c r="C52" s="153"/>
      <c r="D52" s="153"/>
      <c r="E52" s="153"/>
      <c r="F52" s="153"/>
      <c r="G52" s="154"/>
      <c r="H52" s="155"/>
      <c r="I52" s="156"/>
    </row>
    <row r="53" spans="2:9" x14ac:dyDescent="0.25">
      <c r="B53" s="73">
        <v>7</v>
      </c>
      <c r="C53" s="200"/>
      <c r="D53" s="76" t="s">
        <v>96</v>
      </c>
      <c r="E53" s="76"/>
      <c r="F53" s="76"/>
      <c r="G53" s="76"/>
      <c r="H53" s="76"/>
      <c r="I53" s="201"/>
    </row>
    <row r="54" spans="2:9" s="55" customFormat="1" ht="27.6" x14ac:dyDescent="0.25">
      <c r="B54" s="144" t="s">
        <v>191</v>
      </c>
      <c r="C54" s="197">
        <v>89503</v>
      </c>
      <c r="D54" s="198" t="s">
        <v>97</v>
      </c>
      <c r="E54" s="193" t="s">
        <v>12</v>
      </c>
      <c r="F54" s="195">
        <v>3</v>
      </c>
      <c r="G54" s="196">
        <v>23.77</v>
      </c>
      <c r="H54" s="82">
        <f t="shared" ref="H54:H62" si="5">G54*1.2835</f>
        <v>30.508795000000003</v>
      </c>
      <c r="I54" s="104">
        <f t="shared" ref="I54:I62" si="6">TRUNC(H54*F54,2)</f>
        <v>91.52</v>
      </c>
    </row>
    <row r="55" spans="2:9" s="55" customFormat="1" ht="27.6" x14ac:dyDescent="0.25">
      <c r="B55" s="144" t="s">
        <v>192</v>
      </c>
      <c r="C55" s="193">
        <v>89449</v>
      </c>
      <c r="D55" s="198" t="s">
        <v>217</v>
      </c>
      <c r="E55" s="193" t="s">
        <v>6</v>
      </c>
      <c r="F55" s="81">
        <v>12</v>
      </c>
      <c r="G55" s="142">
        <v>17.010000000000002</v>
      </c>
      <c r="H55" s="82">
        <f t="shared" si="5"/>
        <v>21.832335000000004</v>
      </c>
      <c r="I55" s="104">
        <f t="shared" si="6"/>
        <v>261.98</v>
      </c>
    </row>
    <row r="56" spans="2:9" s="55" customFormat="1" ht="27.6" x14ac:dyDescent="0.25">
      <c r="B56" s="144" t="s">
        <v>193</v>
      </c>
      <c r="C56" s="193">
        <v>89625</v>
      </c>
      <c r="D56" s="198" t="s">
        <v>218</v>
      </c>
      <c r="E56" s="193" t="s">
        <v>12</v>
      </c>
      <c r="F56" s="81">
        <v>3</v>
      </c>
      <c r="G56" s="104">
        <v>21.33</v>
      </c>
      <c r="H56" s="82">
        <f t="shared" si="5"/>
        <v>27.377054999999999</v>
      </c>
      <c r="I56" s="104">
        <f t="shared" si="6"/>
        <v>82.13</v>
      </c>
    </row>
    <row r="57" spans="2:9" s="55" customFormat="1" ht="41.4" x14ac:dyDescent="0.25">
      <c r="B57" s="144" t="s">
        <v>194</v>
      </c>
      <c r="C57" s="193">
        <v>94706</v>
      </c>
      <c r="D57" s="198" t="s">
        <v>129</v>
      </c>
      <c r="E57" s="193" t="s">
        <v>12</v>
      </c>
      <c r="F57" s="81">
        <v>3</v>
      </c>
      <c r="G57" s="104">
        <v>41.85</v>
      </c>
      <c r="H57" s="82">
        <f t="shared" si="5"/>
        <v>53.714475000000007</v>
      </c>
      <c r="I57" s="104">
        <f t="shared" si="6"/>
        <v>161.13999999999999</v>
      </c>
    </row>
    <row r="58" spans="2:9" s="55" customFormat="1" ht="41.4" x14ac:dyDescent="0.25">
      <c r="B58" s="144" t="s">
        <v>195</v>
      </c>
      <c r="C58" s="193">
        <v>94662</v>
      </c>
      <c r="D58" s="198" t="s">
        <v>130</v>
      </c>
      <c r="E58" s="193" t="s">
        <v>12</v>
      </c>
      <c r="F58" s="81">
        <v>3</v>
      </c>
      <c r="G58" s="104">
        <v>12.48</v>
      </c>
      <c r="H58" s="82">
        <f t="shared" si="5"/>
        <v>16.018080000000001</v>
      </c>
      <c r="I58" s="104">
        <f t="shared" si="6"/>
        <v>48.05</v>
      </c>
    </row>
    <row r="59" spans="2:9" s="55" customFormat="1" ht="27.6" x14ac:dyDescent="0.25">
      <c r="B59" s="144" t="s">
        <v>196</v>
      </c>
      <c r="C59" s="193">
        <v>813</v>
      </c>
      <c r="D59" s="198" t="s">
        <v>131</v>
      </c>
      <c r="E59" s="193" t="s">
        <v>12</v>
      </c>
      <c r="F59" s="81">
        <v>3</v>
      </c>
      <c r="G59" s="104">
        <v>4.47</v>
      </c>
      <c r="H59" s="82">
        <f t="shared" si="5"/>
        <v>5.7372449999999997</v>
      </c>
      <c r="I59" s="104">
        <f t="shared" si="6"/>
        <v>17.21</v>
      </c>
    </row>
    <row r="60" spans="2:9" s="55" customFormat="1" ht="27.6" x14ac:dyDescent="0.25">
      <c r="B60" s="144" t="s">
        <v>197</v>
      </c>
      <c r="C60" s="193">
        <v>102609</v>
      </c>
      <c r="D60" s="198" t="s">
        <v>128</v>
      </c>
      <c r="E60" s="193" t="s">
        <v>12</v>
      </c>
      <c r="F60" s="81">
        <v>1</v>
      </c>
      <c r="G60" s="104">
        <v>995.82</v>
      </c>
      <c r="H60" s="82">
        <f t="shared" si="5"/>
        <v>1278.1349700000001</v>
      </c>
      <c r="I60" s="104">
        <f t="shared" si="6"/>
        <v>1278.1300000000001</v>
      </c>
    </row>
    <row r="61" spans="2:9" s="55" customFormat="1" ht="27.6" x14ac:dyDescent="0.25">
      <c r="B61" s="144" t="s">
        <v>198</v>
      </c>
      <c r="C61" s="80">
        <v>94497</v>
      </c>
      <c r="D61" s="110" t="s">
        <v>127</v>
      </c>
      <c r="E61" s="193" t="s">
        <v>12</v>
      </c>
      <c r="F61" s="81">
        <v>1</v>
      </c>
      <c r="G61" s="142">
        <v>84.36</v>
      </c>
      <c r="H61" s="82">
        <f t="shared" si="5"/>
        <v>108.27606</v>
      </c>
      <c r="I61" s="104">
        <f t="shared" si="6"/>
        <v>108.27</v>
      </c>
    </row>
    <row r="62" spans="2:9" s="55" customFormat="1" x14ac:dyDescent="0.25">
      <c r="B62" s="144" t="s">
        <v>199</v>
      </c>
      <c r="C62" s="80" t="s">
        <v>135</v>
      </c>
      <c r="D62" s="110" t="s">
        <v>119</v>
      </c>
      <c r="E62" s="193" t="s">
        <v>12</v>
      </c>
      <c r="F62" s="81">
        <v>1</v>
      </c>
      <c r="G62" s="142">
        <f>Composições!F37</f>
        <v>38.36</v>
      </c>
      <c r="H62" s="82">
        <f t="shared" si="5"/>
        <v>49.235060000000004</v>
      </c>
      <c r="I62" s="104">
        <f t="shared" si="6"/>
        <v>49.23</v>
      </c>
    </row>
    <row r="63" spans="2:9" x14ac:dyDescent="0.25">
      <c r="B63" s="74"/>
      <c r="C63" s="147"/>
      <c r="D63" s="147"/>
      <c r="E63" s="147"/>
      <c r="F63" s="147"/>
      <c r="G63" s="199" t="s">
        <v>1</v>
      </c>
      <c r="H63" s="148"/>
      <c r="I63" s="86">
        <f>SUM(I54:I62)</f>
        <v>2097.6600000000003</v>
      </c>
    </row>
    <row r="64" spans="2:9" s="55" customFormat="1" x14ac:dyDescent="0.25">
      <c r="B64" s="152"/>
      <c r="C64" s="97"/>
      <c r="D64" s="97"/>
      <c r="E64" s="97"/>
      <c r="F64" s="97"/>
      <c r="G64" s="97"/>
      <c r="H64" s="99"/>
      <c r="I64" s="91"/>
    </row>
    <row r="65" spans="2:9" s="55" customFormat="1" x14ac:dyDescent="0.25">
      <c r="B65" s="73">
        <v>8</v>
      </c>
      <c r="C65" s="200"/>
      <c r="D65" s="76" t="s">
        <v>200</v>
      </c>
      <c r="E65" s="76"/>
      <c r="F65" s="76"/>
      <c r="G65" s="76"/>
      <c r="H65" s="76"/>
      <c r="I65" s="201"/>
    </row>
    <row r="66" spans="2:9" s="55" customFormat="1" ht="27.6" x14ac:dyDescent="0.25">
      <c r="B66" s="144" t="s">
        <v>201</v>
      </c>
      <c r="C66" s="192">
        <v>91926</v>
      </c>
      <c r="D66" s="110" t="s">
        <v>206</v>
      </c>
      <c r="E66" s="193" t="s">
        <v>6</v>
      </c>
      <c r="F66" s="195">
        <v>50</v>
      </c>
      <c r="G66" s="196">
        <v>4.1100000000000003</v>
      </c>
      <c r="H66" s="82">
        <f t="shared" ref="H66:H73" si="7">G66*1.2835</f>
        <v>5.2751850000000005</v>
      </c>
      <c r="I66" s="104">
        <f t="shared" ref="I66:I73" si="8">TRUNC(H66*F66,2)</f>
        <v>263.75</v>
      </c>
    </row>
    <row r="67" spans="2:9" s="55" customFormat="1" ht="27.6" x14ac:dyDescent="0.25">
      <c r="B67" s="144" t="s">
        <v>202</v>
      </c>
      <c r="C67" s="192">
        <v>91996</v>
      </c>
      <c r="D67" s="110" t="s">
        <v>207</v>
      </c>
      <c r="E67" s="193" t="s">
        <v>12</v>
      </c>
      <c r="F67" s="195">
        <v>1</v>
      </c>
      <c r="G67" s="196">
        <v>25.13</v>
      </c>
      <c r="H67" s="82">
        <f t="shared" si="7"/>
        <v>32.254355000000004</v>
      </c>
      <c r="I67" s="104">
        <f t="shared" si="8"/>
        <v>32.25</v>
      </c>
    </row>
    <row r="68" spans="2:9" s="55" customFormat="1" ht="27.6" x14ac:dyDescent="0.25">
      <c r="B68" s="144" t="s">
        <v>203</v>
      </c>
      <c r="C68" s="192">
        <v>92000</v>
      </c>
      <c r="D68" s="110" t="s">
        <v>208</v>
      </c>
      <c r="E68" s="80" t="s">
        <v>12</v>
      </c>
      <c r="F68" s="195">
        <v>1</v>
      </c>
      <c r="G68" s="196">
        <v>22.3</v>
      </c>
      <c r="H68" s="82">
        <f t="shared" si="7"/>
        <v>28.622050000000002</v>
      </c>
      <c r="I68" s="104">
        <f t="shared" si="8"/>
        <v>28.62</v>
      </c>
    </row>
    <row r="69" spans="2:9" s="55" customFormat="1" ht="27.6" x14ac:dyDescent="0.25">
      <c r="B69" s="144" t="s">
        <v>204</v>
      </c>
      <c r="C69" s="80">
        <v>38769</v>
      </c>
      <c r="D69" s="110" t="s">
        <v>209</v>
      </c>
      <c r="E69" s="80" t="s">
        <v>12</v>
      </c>
      <c r="F69" s="195">
        <v>2</v>
      </c>
      <c r="G69" s="196">
        <v>98.28</v>
      </c>
      <c r="H69" s="82">
        <f t="shared" si="7"/>
        <v>126.14238</v>
      </c>
      <c r="I69" s="104">
        <f t="shared" si="8"/>
        <v>252.28</v>
      </c>
    </row>
    <row r="70" spans="2:9" s="55" customFormat="1" x14ac:dyDescent="0.25">
      <c r="B70" s="144" t="s">
        <v>205</v>
      </c>
      <c r="C70" s="80">
        <v>39391</v>
      </c>
      <c r="D70" s="110" t="s">
        <v>210</v>
      </c>
      <c r="E70" s="80" t="s">
        <v>12</v>
      </c>
      <c r="F70" s="194">
        <v>5</v>
      </c>
      <c r="G70" s="196">
        <v>43.65</v>
      </c>
      <c r="H70" s="82">
        <f t="shared" si="7"/>
        <v>56.024775000000005</v>
      </c>
      <c r="I70" s="104">
        <f t="shared" si="8"/>
        <v>280.12</v>
      </c>
    </row>
    <row r="71" spans="2:9" s="55" customFormat="1" x14ac:dyDescent="0.25">
      <c r="B71" s="144" t="s">
        <v>212</v>
      </c>
      <c r="C71" s="80">
        <v>39385</v>
      </c>
      <c r="D71" s="110" t="s">
        <v>211</v>
      </c>
      <c r="E71" s="80" t="s">
        <v>12</v>
      </c>
      <c r="F71" s="194">
        <v>6</v>
      </c>
      <c r="G71" s="196">
        <v>17.09</v>
      </c>
      <c r="H71" s="82">
        <f t="shared" si="7"/>
        <v>21.935015</v>
      </c>
      <c r="I71" s="104">
        <f t="shared" si="8"/>
        <v>131.61000000000001</v>
      </c>
    </row>
    <row r="72" spans="2:9" s="55" customFormat="1" x14ac:dyDescent="0.25">
      <c r="B72" s="144" t="s">
        <v>215</v>
      </c>
      <c r="C72" s="193">
        <v>88247</v>
      </c>
      <c r="D72" s="110" t="s">
        <v>213</v>
      </c>
      <c r="E72" s="193" t="s">
        <v>23</v>
      </c>
      <c r="F72" s="194">
        <f>8*4</f>
        <v>32</v>
      </c>
      <c r="G72" s="196">
        <v>15.19</v>
      </c>
      <c r="H72" s="82">
        <f t="shared" si="7"/>
        <v>19.496365000000001</v>
      </c>
      <c r="I72" s="104">
        <f t="shared" si="8"/>
        <v>623.88</v>
      </c>
    </row>
    <row r="73" spans="2:9" s="55" customFormat="1" x14ac:dyDescent="0.25">
      <c r="B73" s="144" t="s">
        <v>216</v>
      </c>
      <c r="C73" s="193">
        <v>88264</v>
      </c>
      <c r="D73" s="110" t="s">
        <v>214</v>
      </c>
      <c r="E73" s="193" t="s">
        <v>23</v>
      </c>
      <c r="F73" s="194">
        <f>8*4</f>
        <v>32</v>
      </c>
      <c r="G73" s="196">
        <v>21.87</v>
      </c>
      <c r="H73" s="82">
        <f t="shared" si="7"/>
        <v>28.070145000000004</v>
      </c>
      <c r="I73" s="104">
        <f t="shared" si="8"/>
        <v>898.24</v>
      </c>
    </row>
    <row r="74" spans="2:9" s="55" customFormat="1" x14ac:dyDescent="0.25">
      <c r="B74" s="74"/>
      <c r="C74" s="147"/>
      <c r="D74" s="147"/>
      <c r="E74" s="147"/>
      <c r="F74" s="147"/>
      <c r="G74" s="199" t="s">
        <v>1</v>
      </c>
      <c r="H74" s="148"/>
      <c r="I74" s="86">
        <f>SUM(I66:I73)</f>
        <v>2510.75</v>
      </c>
    </row>
    <row r="75" spans="2:9" s="55" customFormat="1" x14ac:dyDescent="0.25">
      <c r="B75" s="152"/>
      <c r="C75" s="97"/>
      <c r="D75" s="97"/>
      <c r="E75" s="97"/>
      <c r="F75" s="97"/>
      <c r="G75" s="97"/>
      <c r="H75" s="99"/>
      <c r="I75" s="91"/>
    </row>
    <row r="76" spans="2:9" x14ac:dyDescent="0.25">
      <c r="B76" s="202">
        <v>9</v>
      </c>
      <c r="C76" s="203"/>
      <c r="D76" s="204" t="s">
        <v>84</v>
      </c>
      <c r="E76" s="204"/>
      <c r="F76" s="204"/>
      <c r="G76" s="149"/>
      <c r="H76" s="204"/>
      <c r="I76" s="201"/>
    </row>
    <row r="77" spans="2:9" s="55" customFormat="1" x14ac:dyDescent="0.25">
      <c r="B77" s="80" t="s">
        <v>267</v>
      </c>
      <c r="C77" s="80" t="s">
        <v>136</v>
      </c>
      <c r="D77" s="110" t="s">
        <v>98</v>
      </c>
      <c r="E77" s="193" t="s">
        <v>12</v>
      </c>
      <c r="F77" s="81">
        <v>2</v>
      </c>
      <c r="G77" s="142">
        <f>Composições!F40</f>
        <v>19.078499999999998</v>
      </c>
      <c r="H77" s="82">
        <f>G77*1.2835</f>
        <v>24.487254749999998</v>
      </c>
      <c r="I77" s="104">
        <f>TRUNC(H77*F77,2)</f>
        <v>48.97</v>
      </c>
    </row>
    <row r="78" spans="2:9" s="55" customFormat="1" x14ac:dyDescent="0.25">
      <c r="B78" s="80" t="s">
        <v>268</v>
      </c>
      <c r="C78" s="80" t="s">
        <v>54</v>
      </c>
      <c r="D78" s="110" t="s">
        <v>220</v>
      </c>
      <c r="E78" s="193" t="s">
        <v>12</v>
      </c>
      <c r="F78" s="81">
        <v>2</v>
      </c>
      <c r="G78" s="205">
        <f>Composições!F43</f>
        <v>973.72019999999986</v>
      </c>
      <c r="H78" s="82">
        <f>G78*1.2835</f>
        <v>1249.7698766999999</v>
      </c>
      <c r="I78" s="104">
        <f>TRUNC(H78*F78,2)</f>
        <v>2499.5300000000002</v>
      </c>
    </row>
    <row r="79" spans="2:9" s="55" customFormat="1" x14ac:dyDescent="0.25">
      <c r="B79" s="80" t="s">
        <v>269</v>
      </c>
      <c r="C79" s="80" t="s">
        <v>55</v>
      </c>
      <c r="D79" s="110" t="str">
        <f>Composições!B54</f>
        <v>MANUTENÇÃO PORTINHOLA DE ALUMÍNIO DE ABRIR</v>
      </c>
      <c r="E79" s="193" t="s">
        <v>12</v>
      </c>
      <c r="F79" s="81">
        <v>1</v>
      </c>
      <c r="G79" s="205">
        <f>Composições!F54</f>
        <v>89.598321999999996</v>
      </c>
      <c r="H79" s="82">
        <f>G79*1.2835</f>
        <v>114.999446287</v>
      </c>
      <c r="I79" s="104">
        <f>TRUNC(H79*F79,2)</f>
        <v>114.99</v>
      </c>
    </row>
    <row r="80" spans="2:9" s="55" customFormat="1" x14ac:dyDescent="0.25">
      <c r="B80" s="80" t="s">
        <v>270</v>
      </c>
      <c r="C80" s="80" t="s">
        <v>70</v>
      </c>
      <c r="D80" s="110" t="s">
        <v>79</v>
      </c>
      <c r="E80" s="80" t="s">
        <v>12</v>
      </c>
      <c r="F80" s="81">
        <v>1</v>
      </c>
      <c r="G80" s="142">
        <f>Composições!F59</f>
        <v>854.35460000000012</v>
      </c>
      <c r="H80" s="82">
        <f>G80*1.2555</f>
        <v>1072.6422003000002</v>
      </c>
      <c r="I80" s="104">
        <f>TRUNC(H80*F80,2)</f>
        <v>1072.6400000000001</v>
      </c>
    </row>
    <row r="81" spans="2:9" x14ac:dyDescent="0.25">
      <c r="B81" s="118"/>
      <c r="C81" s="114"/>
      <c r="D81" s="113"/>
      <c r="E81" s="114"/>
      <c r="F81" s="84"/>
      <c r="G81" s="85" t="s">
        <v>1</v>
      </c>
      <c r="H81" s="206"/>
      <c r="I81" s="86">
        <f>SUM(I77:I80)</f>
        <v>3736.13</v>
      </c>
    </row>
    <row r="82" spans="2:9" x14ac:dyDescent="0.25">
      <c r="B82" s="207"/>
      <c r="C82" s="208"/>
      <c r="D82" s="209"/>
      <c r="E82" s="208"/>
      <c r="F82" s="208"/>
      <c r="G82" s="210"/>
      <c r="H82" s="211"/>
      <c r="I82" s="211"/>
    </row>
    <row r="83" spans="2:9" ht="31.5" customHeight="1" x14ac:dyDescent="0.25">
      <c r="B83" s="118"/>
      <c r="C83" s="114"/>
      <c r="D83" s="113"/>
      <c r="E83" s="114"/>
      <c r="F83" s="84"/>
      <c r="G83" s="85" t="s">
        <v>91</v>
      </c>
      <c r="H83" s="206"/>
      <c r="I83" s="86">
        <f>SUM(I9:I81)/2</f>
        <v>72409.83</v>
      </c>
    </row>
    <row r="86" spans="2:9" x14ac:dyDescent="0.25">
      <c r="I86" s="101"/>
    </row>
    <row r="88" spans="2:9" x14ac:dyDescent="0.25">
      <c r="F88" s="102"/>
    </row>
  </sheetData>
  <mergeCells count="4">
    <mergeCell ref="I2:I3"/>
    <mergeCell ref="J2:J3"/>
    <mergeCell ref="I4:I5"/>
    <mergeCell ref="B2:H5"/>
  </mergeCells>
  <printOptions horizontalCentered="1" verticalCentered="1"/>
  <pageMargins left="0.25" right="0.25" top="0.75" bottom="0.75" header="0.3" footer="0.3"/>
  <pageSetup paperSize="9" scale="78" fitToHeight="0" orientation="landscape" r:id="rId1"/>
  <headerFooter scaleWithDoc="0"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zoomScale="115" zoomScaleNormal="115" workbookViewId="0">
      <selection activeCell="A89" sqref="A89:F89"/>
    </sheetView>
  </sheetViews>
  <sheetFormatPr defaultColWidth="9.109375" defaultRowHeight="15.6" x14ac:dyDescent="0.3"/>
  <cols>
    <col min="1" max="1" width="29.6640625" style="219" customWidth="1"/>
    <col min="2" max="2" width="92.5546875" style="219" customWidth="1"/>
    <col min="3" max="3" width="8.5546875" style="43" bestFit="1" customWidth="1"/>
    <col min="4" max="4" width="19.5546875" style="219" customWidth="1"/>
    <col min="5" max="5" width="14" style="219" customWidth="1"/>
    <col min="6" max="6" width="14.109375" style="219" customWidth="1"/>
    <col min="7" max="16384" width="9.109375" style="219"/>
  </cols>
  <sheetData>
    <row r="1" spans="1:11" s="213" customFormat="1" ht="38.25" customHeight="1" x14ac:dyDescent="0.3">
      <c r="A1" s="11" t="s">
        <v>8</v>
      </c>
      <c r="B1" s="224" t="s">
        <v>18</v>
      </c>
      <c r="C1" s="44" t="s">
        <v>19</v>
      </c>
      <c r="D1" s="45" t="s">
        <v>20</v>
      </c>
      <c r="E1" s="46" t="s">
        <v>21</v>
      </c>
      <c r="F1" s="46" t="s">
        <v>22</v>
      </c>
      <c r="G1" s="212"/>
      <c r="H1" s="212"/>
      <c r="I1" s="212"/>
      <c r="J1" s="212"/>
      <c r="K1" s="212"/>
    </row>
    <row r="2" spans="1:11" s="212" customFormat="1" x14ac:dyDescent="0.3">
      <c r="A2" s="220" t="s">
        <v>10</v>
      </c>
      <c r="B2" s="221" t="s">
        <v>61</v>
      </c>
      <c r="C2" s="220" t="s">
        <v>12</v>
      </c>
      <c r="D2" s="222"/>
      <c r="E2" s="223"/>
      <c r="F2" s="223">
        <f>SUM(F3:F5)</f>
        <v>488.28999999999996</v>
      </c>
    </row>
    <row r="3" spans="1:11" s="212" customFormat="1" ht="31.2" x14ac:dyDescent="0.3">
      <c r="A3" s="47" t="s">
        <v>93</v>
      </c>
      <c r="B3" s="15" t="s">
        <v>62</v>
      </c>
      <c r="C3" s="48" t="s">
        <v>12</v>
      </c>
      <c r="D3" s="50">
        <v>1</v>
      </c>
      <c r="E3" s="49">
        <v>167.35</v>
      </c>
      <c r="F3" s="49">
        <f>D3*E3</f>
        <v>167.35</v>
      </c>
    </row>
    <row r="4" spans="1:11" s="212" customFormat="1" x14ac:dyDescent="0.3">
      <c r="A4" s="48" t="s">
        <v>63</v>
      </c>
      <c r="B4" s="15" t="s">
        <v>94</v>
      </c>
      <c r="C4" s="48" t="s">
        <v>12</v>
      </c>
      <c r="D4" s="50">
        <v>1</v>
      </c>
      <c r="E4" s="49">
        <v>233.94</v>
      </c>
      <c r="F4" s="49">
        <f>D4*E4</f>
        <v>233.94</v>
      </c>
    </row>
    <row r="5" spans="1:11" s="39" customFormat="1" x14ac:dyDescent="0.3">
      <c r="A5" s="1">
        <v>90772</v>
      </c>
      <c r="B5" s="12" t="s">
        <v>64</v>
      </c>
      <c r="C5" s="2" t="s">
        <v>23</v>
      </c>
      <c r="D5" s="50">
        <v>6</v>
      </c>
      <c r="E5" s="49">
        <v>14.5</v>
      </c>
      <c r="F5" s="49">
        <f>D5*E5</f>
        <v>87</v>
      </c>
    </row>
    <row r="6" spans="1:11" s="212" customFormat="1" ht="31.2" x14ac:dyDescent="0.3">
      <c r="A6" s="220" t="s">
        <v>11</v>
      </c>
      <c r="B6" s="221" t="s">
        <v>60</v>
      </c>
      <c r="C6" s="220" t="s">
        <v>0</v>
      </c>
      <c r="D6" s="220"/>
      <c r="E6" s="225"/>
      <c r="F6" s="225">
        <f>SUM(F7:F12)</f>
        <v>305.52920000000006</v>
      </c>
    </row>
    <row r="7" spans="1:11" s="212" customFormat="1" ht="31.2" x14ac:dyDescent="0.3">
      <c r="A7" s="310">
        <v>4417</v>
      </c>
      <c r="B7" s="318" t="s">
        <v>65</v>
      </c>
      <c r="C7" s="48" t="s">
        <v>6</v>
      </c>
      <c r="D7" s="319">
        <v>1</v>
      </c>
      <c r="E7" s="320">
        <v>5.66</v>
      </c>
      <c r="F7" s="321">
        <f t="shared" ref="F7:F12" si="0">D7*E7</f>
        <v>5.66</v>
      </c>
    </row>
    <row r="8" spans="1:11" s="212" customFormat="1" ht="31.2" x14ac:dyDescent="0.3">
      <c r="A8" s="310">
        <v>4491</v>
      </c>
      <c r="B8" s="318" t="s">
        <v>66</v>
      </c>
      <c r="C8" s="48" t="s">
        <v>6</v>
      </c>
      <c r="D8" s="319">
        <v>4</v>
      </c>
      <c r="E8" s="320">
        <v>8.98</v>
      </c>
      <c r="F8" s="321">
        <f t="shared" si="0"/>
        <v>35.92</v>
      </c>
    </row>
    <row r="9" spans="1:11" s="212" customFormat="1" ht="31.2" x14ac:dyDescent="0.3">
      <c r="A9" s="310">
        <v>4813</v>
      </c>
      <c r="B9" s="318" t="s">
        <v>67</v>
      </c>
      <c r="C9" s="48" t="s">
        <v>32</v>
      </c>
      <c r="D9" s="319">
        <v>1</v>
      </c>
      <c r="E9" s="320">
        <v>225</v>
      </c>
      <c r="F9" s="321">
        <f t="shared" si="0"/>
        <v>225</v>
      </c>
    </row>
    <row r="10" spans="1:11" s="212" customFormat="1" x14ac:dyDescent="0.3">
      <c r="A10" s="310">
        <v>5075</v>
      </c>
      <c r="B10" s="318" t="s">
        <v>68</v>
      </c>
      <c r="C10" s="48" t="s">
        <v>7</v>
      </c>
      <c r="D10" s="319">
        <v>0.11</v>
      </c>
      <c r="E10" s="320">
        <v>26.72</v>
      </c>
      <c r="F10" s="321">
        <f t="shared" si="0"/>
        <v>2.9392</v>
      </c>
    </row>
    <row r="11" spans="1:11" s="39" customFormat="1" x14ac:dyDescent="0.3">
      <c r="A11" s="1">
        <v>88262</v>
      </c>
      <c r="B11" s="16" t="s">
        <v>69</v>
      </c>
      <c r="C11" s="2" t="s">
        <v>23</v>
      </c>
      <c r="D11" s="17">
        <v>1</v>
      </c>
      <c r="E11" s="51">
        <v>20.85</v>
      </c>
      <c r="F11" s="52">
        <f t="shared" si="0"/>
        <v>20.85</v>
      </c>
    </row>
    <row r="12" spans="1:11" s="39" customFormat="1" x14ac:dyDescent="0.3">
      <c r="A12" s="1">
        <v>88316</v>
      </c>
      <c r="B12" s="16" t="s">
        <v>27</v>
      </c>
      <c r="C12" s="2" t="s">
        <v>23</v>
      </c>
      <c r="D12" s="17">
        <v>1</v>
      </c>
      <c r="E12" s="51">
        <v>15.16</v>
      </c>
      <c r="F12" s="52">
        <f t="shared" si="0"/>
        <v>15.16</v>
      </c>
    </row>
    <row r="13" spans="1:11" s="214" customFormat="1" ht="30.75" customHeight="1" x14ac:dyDescent="0.3">
      <c r="A13" s="226" t="s">
        <v>73</v>
      </c>
      <c r="B13" s="227" t="s">
        <v>49</v>
      </c>
      <c r="C13" s="226" t="s">
        <v>12</v>
      </c>
      <c r="D13" s="228"/>
      <c r="E13" s="229"/>
      <c r="F13" s="229">
        <f>SUM(F14:F16)</f>
        <v>857.46</v>
      </c>
    </row>
    <row r="14" spans="1:11" s="215" customFormat="1" x14ac:dyDescent="0.3">
      <c r="A14" s="5">
        <v>88316</v>
      </c>
      <c r="B14" s="6" t="s">
        <v>27</v>
      </c>
      <c r="C14" s="5" t="s">
        <v>23</v>
      </c>
      <c r="D14" s="7">
        <v>16</v>
      </c>
      <c r="E14" s="53">
        <v>16.829999999999998</v>
      </c>
      <c r="F14" s="53">
        <f>D14*E14</f>
        <v>269.27999999999997</v>
      </c>
    </row>
    <row r="15" spans="1:11" s="215" customFormat="1" ht="46.8" x14ac:dyDescent="0.3">
      <c r="A15" s="13">
        <v>73467</v>
      </c>
      <c r="B15" s="6" t="s">
        <v>50</v>
      </c>
      <c r="C15" s="5" t="s">
        <v>9</v>
      </c>
      <c r="D15" s="7">
        <v>2</v>
      </c>
      <c r="E15" s="53">
        <v>147.61000000000001</v>
      </c>
      <c r="F15" s="53">
        <f>D15*E15</f>
        <v>295.22000000000003</v>
      </c>
    </row>
    <row r="16" spans="1:11" s="215" customFormat="1" ht="38.1" customHeight="1" x14ac:dyDescent="0.3">
      <c r="A16" s="316">
        <v>5892</v>
      </c>
      <c r="B16" s="6" t="s">
        <v>51</v>
      </c>
      <c r="C16" s="14" t="s">
        <v>30</v>
      </c>
      <c r="D16" s="317">
        <v>8</v>
      </c>
      <c r="E16" s="53">
        <v>36.619999999999997</v>
      </c>
      <c r="F16" s="53">
        <f>D16*E16</f>
        <v>292.95999999999998</v>
      </c>
    </row>
    <row r="17" spans="1:11" s="214" customFormat="1" ht="27" customHeight="1" x14ac:dyDescent="0.3">
      <c r="A17" s="226" t="s">
        <v>13</v>
      </c>
      <c r="B17" s="227" t="s">
        <v>52</v>
      </c>
      <c r="C17" s="226" t="s">
        <v>12</v>
      </c>
      <c r="D17" s="228"/>
      <c r="E17" s="229"/>
      <c r="F17" s="229">
        <f>SUM(F18:F20)</f>
        <v>856.8599999999999</v>
      </c>
    </row>
    <row r="18" spans="1:11" s="215" customFormat="1" x14ac:dyDescent="0.3">
      <c r="A18" s="14">
        <v>88316</v>
      </c>
      <c r="B18" s="6" t="s">
        <v>27</v>
      </c>
      <c r="C18" s="5" t="s">
        <v>23</v>
      </c>
      <c r="D18" s="7">
        <v>16</v>
      </c>
      <c r="E18" s="53">
        <v>16.829999999999998</v>
      </c>
      <c r="F18" s="53">
        <f>D18*E18</f>
        <v>269.27999999999997</v>
      </c>
    </row>
    <row r="19" spans="1:11" s="215" customFormat="1" ht="46.8" x14ac:dyDescent="0.3">
      <c r="A19" s="13">
        <v>73467</v>
      </c>
      <c r="B19" s="6" t="s">
        <v>50</v>
      </c>
      <c r="C19" s="5" t="s">
        <v>9</v>
      </c>
      <c r="D19" s="7">
        <v>2</v>
      </c>
      <c r="E19" s="53">
        <v>147.31</v>
      </c>
      <c r="F19" s="53">
        <f>D19*E19</f>
        <v>294.62</v>
      </c>
    </row>
    <row r="20" spans="1:11" s="215" customFormat="1" ht="31.2" x14ac:dyDescent="0.3">
      <c r="A20" s="316">
        <v>5892</v>
      </c>
      <c r="B20" s="6" t="s">
        <v>51</v>
      </c>
      <c r="C20" s="14" t="s">
        <v>30</v>
      </c>
      <c r="D20" s="317">
        <v>8</v>
      </c>
      <c r="E20" s="53">
        <v>36.619999999999997</v>
      </c>
      <c r="F20" s="53">
        <f>D20*E20</f>
        <v>292.95999999999998</v>
      </c>
    </row>
    <row r="21" spans="1:11" s="214" customFormat="1" ht="30.75" customHeight="1" x14ac:dyDescent="0.3">
      <c r="A21" s="226" t="s">
        <v>14</v>
      </c>
      <c r="B21" s="227" t="s">
        <v>46</v>
      </c>
      <c r="C21" s="230" t="s">
        <v>6</v>
      </c>
      <c r="D21" s="228"/>
      <c r="E21" s="231"/>
      <c r="F21" s="231">
        <f>SUM(F22:F23)</f>
        <v>4.1772999999999998</v>
      </c>
    </row>
    <row r="22" spans="1:11" s="215" customFormat="1" x14ac:dyDescent="0.3">
      <c r="A22" s="5">
        <v>88316</v>
      </c>
      <c r="B22" s="6" t="s">
        <v>27</v>
      </c>
      <c r="C22" s="5" t="s">
        <v>23</v>
      </c>
      <c r="D22" s="7">
        <v>0.15</v>
      </c>
      <c r="E22" s="8">
        <v>16.829999999999998</v>
      </c>
      <c r="F22" s="54">
        <f>E22*D22</f>
        <v>2.5244999999999997</v>
      </c>
      <c r="G22" s="216"/>
    </row>
    <row r="23" spans="1:11" s="215" customFormat="1" x14ac:dyDescent="0.3">
      <c r="A23" s="9">
        <v>88323</v>
      </c>
      <c r="B23" s="10" t="s">
        <v>28</v>
      </c>
      <c r="C23" s="5" t="s">
        <v>23</v>
      </c>
      <c r="D23" s="7">
        <v>0.08</v>
      </c>
      <c r="E23" s="8">
        <v>20.66</v>
      </c>
      <c r="F23" s="54">
        <f>E23*D23</f>
        <v>1.6528</v>
      </c>
    </row>
    <row r="24" spans="1:11" s="213" customFormat="1" ht="33" customHeight="1" x14ac:dyDescent="0.3">
      <c r="A24" s="220" t="s">
        <v>15</v>
      </c>
      <c r="B24" s="233" t="s">
        <v>108</v>
      </c>
      <c r="C24" s="220" t="s">
        <v>0</v>
      </c>
      <c r="D24" s="222"/>
      <c r="E24" s="223"/>
      <c r="F24" s="223">
        <f>SUM(F25:F31)</f>
        <v>41.176800000000007</v>
      </c>
      <c r="G24" s="212"/>
      <c r="H24" s="212"/>
      <c r="I24" s="212"/>
      <c r="J24" s="212"/>
      <c r="K24" s="212"/>
    </row>
    <row r="25" spans="1:11" s="213" customFormat="1" ht="31.2" x14ac:dyDescent="0.3">
      <c r="A25" s="47">
        <v>1607</v>
      </c>
      <c r="B25" s="15" t="s">
        <v>102</v>
      </c>
      <c r="C25" s="47" t="s">
        <v>103</v>
      </c>
      <c r="D25" s="48">
        <v>1</v>
      </c>
      <c r="E25" s="49">
        <v>0.25</v>
      </c>
      <c r="F25" s="49">
        <f>D25*E25</f>
        <v>0.25</v>
      </c>
      <c r="G25" s="212"/>
      <c r="H25" s="212"/>
      <c r="I25" s="212"/>
      <c r="J25" s="212"/>
      <c r="K25" s="212"/>
    </row>
    <row r="26" spans="1:11" s="213" customFormat="1" x14ac:dyDescent="0.3">
      <c r="A26" s="47">
        <v>4312</v>
      </c>
      <c r="B26" s="15" t="s">
        <v>104</v>
      </c>
      <c r="C26" s="47" t="s">
        <v>105</v>
      </c>
      <c r="D26" s="48">
        <v>0.31</v>
      </c>
      <c r="E26" s="49">
        <v>2.97</v>
      </c>
      <c r="F26" s="49">
        <f t="shared" ref="F26:F31" si="1">D26*E26</f>
        <v>0.92070000000000007</v>
      </c>
      <c r="G26" s="212"/>
      <c r="H26" s="212"/>
      <c r="I26" s="212"/>
      <c r="J26" s="212"/>
      <c r="K26" s="212"/>
    </row>
    <row r="27" spans="1:11" s="213" customFormat="1" ht="31.2" x14ac:dyDescent="0.3">
      <c r="A27" s="47">
        <v>4315</v>
      </c>
      <c r="B27" s="15" t="s">
        <v>106</v>
      </c>
      <c r="C27" s="47" t="s">
        <v>105</v>
      </c>
      <c r="D27" s="48">
        <v>1</v>
      </c>
      <c r="E27" s="49">
        <v>2.19</v>
      </c>
      <c r="F27" s="49">
        <f t="shared" si="1"/>
        <v>2.19</v>
      </c>
      <c r="G27" s="212"/>
      <c r="H27" s="212"/>
      <c r="I27" s="212"/>
      <c r="J27" s="212"/>
      <c r="K27" s="212"/>
    </row>
    <row r="28" spans="1:11" s="213" customFormat="1" x14ac:dyDescent="0.3">
      <c r="A28" s="232">
        <v>88316</v>
      </c>
      <c r="B28" s="12" t="s">
        <v>27</v>
      </c>
      <c r="C28" s="232" t="s">
        <v>23</v>
      </c>
      <c r="D28" s="2">
        <v>1</v>
      </c>
      <c r="E28" s="4">
        <v>16.829999999999998</v>
      </c>
      <c r="F28" s="4">
        <f t="shared" si="1"/>
        <v>16.829999999999998</v>
      </c>
      <c r="G28" s="212"/>
      <c r="H28" s="212"/>
      <c r="I28" s="212"/>
      <c r="J28" s="212"/>
      <c r="K28" s="212"/>
    </row>
    <row r="29" spans="1:11" s="213" customFormat="1" x14ac:dyDescent="0.3">
      <c r="A29" s="232">
        <v>88323</v>
      </c>
      <c r="B29" s="12" t="s">
        <v>28</v>
      </c>
      <c r="C29" s="232" t="s">
        <v>23</v>
      </c>
      <c r="D29" s="2">
        <v>1</v>
      </c>
      <c r="E29" s="4">
        <v>20.66</v>
      </c>
      <c r="F29" s="4">
        <f t="shared" si="1"/>
        <v>20.66</v>
      </c>
      <c r="G29" s="212"/>
      <c r="H29" s="212"/>
      <c r="I29" s="212"/>
      <c r="J29" s="212"/>
      <c r="K29" s="212"/>
    </row>
    <row r="30" spans="1:11" s="213" customFormat="1" ht="31.2" x14ac:dyDescent="0.3">
      <c r="A30" s="232">
        <v>93281</v>
      </c>
      <c r="B30" s="12" t="s">
        <v>107</v>
      </c>
      <c r="C30" s="232" t="s">
        <v>9</v>
      </c>
      <c r="D30" s="2">
        <v>0.01</v>
      </c>
      <c r="E30" s="4">
        <v>16.809999999999999</v>
      </c>
      <c r="F30" s="4">
        <f t="shared" si="1"/>
        <v>0.1681</v>
      </c>
      <c r="G30" s="212"/>
      <c r="H30" s="212"/>
      <c r="I30" s="212"/>
      <c r="J30" s="212"/>
      <c r="K30" s="212"/>
    </row>
    <row r="31" spans="1:11" s="213" customFormat="1" ht="31.2" x14ac:dyDescent="0.3">
      <c r="A31" s="232">
        <v>93282</v>
      </c>
      <c r="B31" s="12" t="s">
        <v>29</v>
      </c>
      <c r="C31" s="232" t="s">
        <v>30</v>
      </c>
      <c r="D31" s="2">
        <v>0.01</v>
      </c>
      <c r="E31" s="4">
        <v>15.8</v>
      </c>
      <c r="F31" s="4">
        <f t="shared" si="1"/>
        <v>0.158</v>
      </c>
      <c r="G31" s="212"/>
      <c r="H31" s="212"/>
      <c r="I31" s="212"/>
      <c r="J31" s="212"/>
      <c r="K31" s="212"/>
    </row>
    <row r="32" spans="1:11" s="213" customFormat="1" ht="33" customHeight="1" x14ac:dyDescent="0.3">
      <c r="A32" s="220" t="s">
        <v>45</v>
      </c>
      <c r="B32" s="233" t="s">
        <v>109</v>
      </c>
      <c r="C32" s="220" t="s">
        <v>0</v>
      </c>
      <c r="D32" s="222"/>
      <c r="E32" s="223"/>
      <c r="F32" s="223">
        <f>SUM(F33:F36)</f>
        <v>39.058499999999995</v>
      </c>
      <c r="G32" s="212"/>
      <c r="H32" s="212"/>
      <c r="I32" s="212"/>
      <c r="J32" s="212"/>
      <c r="K32" s="212"/>
    </row>
    <row r="33" spans="1:11" s="213" customFormat="1" x14ac:dyDescent="0.3">
      <c r="A33" s="28" t="s">
        <v>85</v>
      </c>
      <c r="B33" s="16" t="s">
        <v>27</v>
      </c>
      <c r="C33" s="2" t="s">
        <v>23</v>
      </c>
      <c r="D33" s="3">
        <v>1</v>
      </c>
      <c r="E33" s="4">
        <v>16.829999999999998</v>
      </c>
      <c r="F33" s="4">
        <f>D33*E33</f>
        <v>16.829999999999998</v>
      </c>
      <c r="G33" s="212"/>
      <c r="H33" s="212"/>
      <c r="I33" s="212"/>
      <c r="J33" s="212"/>
      <c r="K33" s="212"/>
    </row>
    <row r="34" spans="1:11" s="213" customFormat="1" x14ac:dyDescent="0.3">
      <c r="A34" s="28">
        <v>88323</v>
      </c>
      <c r="B34" s="16" t="s">
        <v>28</v>
      </c>
      <c r="C34" s="2" t="s">
        <v>23</v>
      </c>
      <c r="D34" s="3">
        <v>1</v>
      </c>
      <c r="E34" s="49">
        <v>20.66</v>
      </c>
      <c r="F34" s="4">
        <f>D34*E34</f>
        <v>20.66</v>
      </c>
      <c r="G34" s="212"/>
      <c r="H34" s="212"/>
      <c r="I34" s="212"/>
      <c r="J34" s="212"/>
      <c r="K34" s="212"/>
    </row>
    <row r="35" spans="1:11" s="218" customFormat="1" ht="31.2" x14ac:dyDescent="0.3">
      <c r="A35" s="2">
        <v>92716</v>
      </c>
      <c r="B35" s="12" t="s">
        <v>100</v>
      </c>
      <c r="C35" s="2" t="s">
        <v>9</v>
      </c>
      <c r="D35" s="3">
        <v>0.05</v>
      </c>
      <c r="E35" s="49">
        <v>31.08</v>
      </c>
      <c r="F35" s="4">
        <f>D35*E35</f>
        <v>1.554</v>
      </c>
      <c r="G35" s="217"/>
      <c r="H35" s="217"/>
      <c r="I35" s="217"/>
      <c r="J35" s="217"/>
      <c r="K35" s="217"/>
    </row>
    <row r="36" spans="1:11" s="218" customFormat="1" ht="31.2" x14ac:dyDescent="0.3">
      <c r="A36" s="2">
        <v>92717</v>
      </c>
      <c r="B36" s="12" t="s">
        <v>101</v>
      </c>
      <c r="C36" s="2" t="s">
        <v>30</v>
      </c>
      <c r="D36" s="3">
        <v>0.05</v>
      </c>
      <c r="E36" s="49">
        <v>0.28999999999999998</v>
      </c>
      <c r="F36" s="4">
        <f>D36*E36</f>
        <v>1.4499999999999999E-2</v>
      </c>
      <c r="G36" s="217"/>
      <c r="H36" s="217"/>
      <c r="I36" s="217"/>
      <c r="J36" s="217"/>
      <c r="K36" s="217"/>
    </row>
    <row r="37" spans="1:11" s="213" customFormat="1" ht="31.5" customHeight="1" x14ac:dyDescent="0.3">
      <c r="A37" s="220" t="s">
        <v>47</v>
      </c>
      <c r="B37" s="233" t="s">
        <v>119</v>
      </c>
      <c r="C37" s="220" t="s">
        <v>24</v>
      </c>
      <c r="D37" s="222"/>
      <c r="E37" s="223"/>
      <c r="F37" s="223">
        <f>SUM(F38:F39)</f>
        <v>38.36</v>
      </c>
      <c r="G37" s="212"/>
      <c r="H37" s="212"/>
      <c r="I37" s="212"/>
      <c r="J37" s="212"/>
      <c r="K37" s="212"/>
    </row>
    <row r="38" spans="1:11" s="212" customFormat="1" x14ac:dyDescent="0.3">
      <c r="A38" s="1">
        <v>88248</v>
      </c>
      <c r="B38" s="12" t="s">
        <v>120</v>
      </c>
      <c r="C38" s="2" t="s">
        <v>23</v>
      </c>
      <c r="D38" s="3">
        <v>1</v>
      </c>
      <c r="E38" s="4">
        <v>17.329999999999998</v>
      </c>
      <c r="F38" s="4">
        <f t="shared" ref="F38:F39" si="2">D38*E38</f>
        <v>17.329999999999998</v>
      </c>
    </row>
    <row r="39" spans="1:11" s="212" customFormat="1" x14ac:dyDescent="0.3">
      <c r="A39" s="33">
        <v>88267</v>
      </c>
      <c r="B39" s="34" t="s">
        <v>121</v>
      </c>
      <c r="C39" s="30" t="s">
        <v>23</v>
      </c>
      <c r="D39" s="3">
        <v>1</v>
      </c>
      <c r="E39" s="49">
        <v>21.03</v>
      </c>
      <c r="F39" s="4">
        <f t="shared" si="2"/>
        <v>21.03</v>
      </c>
    </row>
    <row r="40" spans="1:11" s="213" customFormat="1" ht="31.5" customHeight="1" x14ac:dyDescent="0.3">
      <c r="A40" s="220" t="s">
        <v>53</v>
      </c>
      <c r="B40" s="233" t="s">
        <v>111</v>
      </c>
      <c r="C40" s="220" t="s">
        <v>0</v>
      </c>
      <c r="D40" s="222"/>
      <c r="E40" s="223"/>
      <c r="F40" s="223">
        <f>SUM(F41:F42)</f>
        <v>19.078499999999998</v>
      </c>
      <c r="G40" s="212"/>
      <c r="H40" s="212"/>
      <c r="I40" s="212"/>
      <c r="J40" s="212"/>
      <c r="K40" s="212"/>
    </row>
    <row r="41" spans="1:11" s="213" customFormat="1" x14ac:dyDescent="0.3">
      <c r="A41" s="2">
        <v>88262</v>
      </c>
      <c r="B41" s="27" t="s">
        <v>69</v>
      </c>
      <c r="C41" s="2" t="s">
        <v>23</v>
      </c>
      <c r="D41" s="3">
        <v>0.35</v>
      </c>
      <c r="E41" s="4">
        <v>20.85</v>
      </c>
      <c r="F41" s="4">
        <f>D41*E41</f>
        <v>7.2975000000000003</v>
      </c>
      <c r="G41" s="212"/>
      <c r="H41" s="212"/>
      <c r="I41" s="212"/>
      <c r="J41" s="212"/>
      <c r="K41" s="212"/>
    </row>
    <row r="42" spans="1:11" s="213" customFormat="1" x14ac:dyDescent="0.3">
      <c r="A42" s="2">
        <v>88316</v>
      </c>
      <c r="B42" s="27" t="s">
        <v>27</v>
      </c>
      <c r="C42" s="2" t="s">
        <v>23</v>
      </c>
      <c r="D42" s="3">
        <v>0.7</v>
      </c>
      <c r="E42" s="49">
        <v>16.829999999999998</v>
      </c>
      <c r="F42" s="4">
        <f>D42*E42</f>
        <v>11.780999999999999</v>
      </c>
      <c r="G42" s="212"/>
      <c r="H42" s="212"/>
      <c r="I42" s="212"/>
      <c r="J42" s="212"/>
      <c r="K42" s="212"/>
    </row>
    <row r="43" spans="1:11" s="213" customFormat="1" ht="33" customHeight="1" x14ac:dyDescent="0.3">
      <c r="A43" s="220" t="s">
        <v>54</v>
      </c>
      <c r="B43" s="233" t="s">
        <v>220</v>
      </c>
      <c r="C43" s="220" t="s">
        <v>24</v>
      </c>
      <c r="D43" s="222"/>
      <c r="E43" s="223"/>
      <c r="F43" s="223">
        <f>SUM(F44:F53)</f>
        <v>973.72019999999986</v>
      </c>
      <c r="G43" s="212"/>
      <c r="H43" s="212"/>
      <c r="I43" s="212"/>
      <c r="J43" s="212"/>
      <c r="K43" s="212"/>
    </row>
    <row r="44" spans="1:11" s="213" customFormat="1" x14ac:dyDescent="0.3">
      <c r="A44" s="2">
        <v>88262</v>
      </c>
      <c r="B44" s="243" t="s">
        <v>69</v>
      </c>
      <c r="C44" s="2" t="s">
        <v>23</v>
      </c>
      <c r="D44" s="3">
        <v>1.6</v>
      </c>
      <c r="E44" s="4">
        <v>20.85</v>
      </c>
      <c r="F44" s="4">
        <f>D44*E44</f>
        <v>33.360000000000007</v>
      </c>
      <c r="G44" s="212"/>
      <c r="H44" s="212"/>
      <c r="I44" s="212"/>
      <c r="J44" s="212"/>
      <c r="K44" s="212"/>
    </row>
    <row r="45" spans="1:11" s="213" customFormat="1" x14ac:dyDescent="0.3">
      <c r="A45" s="2" t="s">
        <v>85</v>
      </c>
      <c r="B45" s="243" t="s">
        <v>27</v>
      </c>
      <c r="C45" s="2" t="s">
        <v>23</v>
      </c>
      <c r="D45" s="3">
        <v>2</v>
      </c>
      <c r="E45" s="49">
        <v>16.829999999999998</v>
      </c>
      <c r="F45" s="4">
        <f>D45*E45</f>
        <v>33.659999999999997</v>
      </c>
      <c r="G45" s="212"/>
      <c r="H45" s="212"/>
      <c r="I45" s="212"/>
      <c r="J45" s="212"/>
      <c r="K45" s="212"/>
    </row>
    <row r="46" spans="1:11" s="212" customFormat="1" ht="31.2" x14ac:dyDescent="0.3">
      <c r="A46" s="48">
        <v>4417</v>
      </c>
      <c r="B46" s="15" t="s">
        <v>113</v>
      </c>
      <c r="C46" s="48" t="s">
        <v>6</v>
      </c>
      <c r="D46" s="50">
        <v>18</v>
      </c>
      <c r="E46" s="49">
        <v>5.66</v>
      </c>
      <c r="F46" s="49">
        <f t="shared" ref="F46:F53" si="3">D46*E46</f>
        <v>101.88</v>
      </c>
    </row>
    <row r="47" spans="1:11" s="212" customFormat="1" ht="31.2" x14ac:dyDescent="0.3">
      <c r="A47" s="48">
        <v>4433</v>
      </c>
      <c r="B47" s="15" t="s">
        <v>114</v>
      </c>
      <c r="C47" s="48" t="s">
        <v>6</v>
      </c>
      <c r="D47" s="50">
        <v>16</v>
      </c>
      <c r="E47" s="49">
        <v>20.329999999999998</v>
      </c>
      <c r="F47" s="49">
        <f t="shared" si="3"/>
        <v>325.27999999999997</v>
      </c>
    </row>
    <row r="48" spans="1:11" s="212" customFormat="1" x14ac:dyDescent="0.3">
      <c r="A48" s="48">
        <v>5068</v>
      </c>
      <c r="B48" s="15" t="s">
        <v>115</v>
      </c>
      <c r="C48" s="48" t="s">
        <v>7</v>
      </c>
      <c r="D48" s="50">
        <v>1</v>
      </c>
      <c r="E48" s="49">
        <v>23.4</v>
      </c>
      <c r="F48" s="49">
        <f t="shared" si="3"/>
        <v>23.4</v>
      </c>
    </row>
    <row r="49" spans="1:6" s="212" customFormat="1" ht="31.2" x14ac:dyDescent="0.3">
      <c r="A49" s="48">
        <v>3992</v>
      </c>
      <c r="B49" s="15" t="s">
        <v>141</v>
      </c>
      <c r="C49" s="48" t="s">
        <v>6</v>
      </c>
      <c r="D49" s="50">
        <v>16</v>
      </c>
      <c r="E49" s="49">
        <v>24.13</v>
      </c>
      <c r="F49" s="49">
        <f t="shared" si="3"/>
        <v>386.08</v>
      </c>
    </row>
    <row r="50" spans="1:6" s="212" customFormat="1" x14ac:dyDescent="0.3">
      <c r="A50" s="2">
        <v>88239</v>
      </c>
      <c r="B50" s="12" t="s">
        <v>116</v>
      </c>
      <c r="C50" s="2" t="s">
        <v>23</v>
      </c>
      <c r="D50" s="3">
        <v>2</v>
      </c>
      <c r="E50" s="49">
        <v>17.75</v>
      </c>
      <c r="F50" s="4">
        <f t="shared" si="3"/>
        <v>35.5</v>
      </c>
    </row>
    <row r="51" spans="1:6" s="212" customFormat="1" x14ac:dyDescent="0.3">
      <c r="A51" s="2" t="s">
        <v>112</v>
      </c>
      <c r="B51" s="12" t="s">
        <v>69</v>
      </c>
      <c r="C51" s="2" t="s">
        <v>23</v>
      </c>
      <c r="D51" s="3">
        <v>1.6</v>
      </c>
      <c r="E51" s="49">
        <v>20.85</v>
      </c>
      <c r="F51" s="4">
        <f t="shared" si="3"/>
        <v>33.360000000000007</v>
      </c>
    </row>
    <row r="52" spans="1:6" s="212" customFormat="1" ht="31.2" x14ac:dyDescent="0.3">
      <c r="A52" s="2">
        <v>91692</v>
      </c>
      <c r="B52" s="12" t="s">
        <v>117</v>
      </c>
      <c r="C52" s="2" t="s">
        <v>9</v>
      </c>
      <c r="D52" s="3">
        <v>0.05</v>
      </c>
      <c r="E52" s="49">
        <v>17.52</v>
      </c>
      <c r="F52" s="4">
        <f t="shared" si="3"/>
        <v>0.876</v>
      </c>
    </row>
    <row r="53" spans="1:6" s="212" customFormat="1" ht="31.2" x14ac:dyDescent="0.3">
      <c r="A53" s="2">
        <v>91693</v>
      </c>
      <c r="B53" s="12" t="s">
        <v>118</v>
      </c>
      <c r="C53" s="2" t="s">
        <v>30</v>
      </c>
      <c r="D53" s="3">
        <v>0.02</v>
      </c>
      <c r="E53" s="49">
        <v>16.21</v>
      </c>
      <c r="F53" s="4">
        <f t="shared" si="3"/>
        <v>0.32420000000000004</v>
      </c>
    </row>
    <row r="54" spans="1:6" s="212" customFormat="1" ht="32.25" customHeight="1" x14ac:dyDescent="0.3">
      <c r="A54" s="220" t="s">
        <v>55</v>
      </c>
      <c r="B54" s="221" t="s">
        <v>138</v>
      </c>
      <c r="C54" s="220" t="s">
        <v>24</v>
      </c>
      <c r="D54" s="222"/>
      <c r="E54" s="223"/>
      <c r="F54" s="223">
        <f>SUM(F55:F58)</f>
        <v>89.598321999999996</v>
      </c>
    </row>
    <row r="55" spans="1:6" s="39" customFormat="1" ht="19.5" customHeight="1" x14ac:dyDescent="0.3">
      <c r="A55" s="310">
        <v>142</v>
      </c>
      <c r="B55" s="15" t="s">
        <v>25</v>
      </c>
      <c r="C55" s="48" t="s">
        <v>26</v>
      </c>
      <c r="D55" s="50">
        <v>0.88290000000000002</v>
      </c>
      <c r="E55" s="49">
        <v>26.18</v>
      </c>
      <c r="F55" s="49">
        <f>D55*E55</f>
        <v>23.114322000000001</v>
      </c>
    </row>
    <row r="56" spans="1:6" s="39" customFormat="1" x14ac:dyDescent="0.3">
      <c r="A56" s="29">
        <v>88309</v>
      </c>
      <c r="B56" s="16" t="s">
        <v>75</v>
      </c>
      <c r="C56" s="2" t="s">
        <v>23</v>
      </c>
      <c r="D56" s="3">
        <v>1.44</v>
      </c>
      <c r="E56" s="4">
        <v>21.1</v>
      </c>
      <c r="F56" s="4">
        <f t="shared" ref="F56:F58" si="4">D56*E56</f>
        <v>30.384</v>
      </c>
    </row>
    <row r="57" spans="1:6" s="39" customFormat="1" x14ac:dyDescent="0.3">
      <c r="A57" s="29">
        <v>88316</v>
      </c>
      <c r="B57" s="16" t="s">
        <v>27</v>
      </c>
      <c r="C57" s="2" t="s">
        <v>23</v>
      </c>
      <c r="D57" s="31">
        <v>2</v>
      </c>
      <c r="E57" s="32">
        <v>16.829999999999998</v>
      </c>
      <c r="F57" s="4">
        <f t="shared" si="4"/>
        <v>33.659999999999997</v>
      </c>
    </row>
    <row r="58" spans="1:6" s="39" customFormat="1" ht="31.2" x14ac:dyDescent="0.3">
      <c r="A58" s="312">
        <v>7568</v>
      </c>
      <c r="B58" s="35" t="s">
        <v>137</v>
      </c>
      <c r="C58" s="313" t="s">
        <v>105</v>
      </c>
      <c r="D58" s="314">
        <v>4</v>
      </c>
      <c r="E58" s="315">
        <v>0.61</v>
      </c>
      <c r="F58" s="49">
        <f t="shared" si="4"/>
        <v>2.44</v>
      </c>
    </row>
    <row r="59" spans="1:6" s="212" customFormat="1" ht="27" customHeight="1" x14ac:dyDescent="0.3">
      <c r="A59" s="220" t="s">
        <v>70</v>
      </c>
      <c r="B59" s="221" t="s">
        <v>79</v>
      </c>
      <c r="C59" s="220" t="s">
        <v>0</v>
      </c>
      <c r="D59" s="222"/>
      <c r="E59" s="223"/>
      <c r="F59" s="223">
        <f>SUM(F60:F63)</f>
        <v>854.35460000000012</v>
      </c>
    </row>
    <row r="60" spans="1:6" s="39" customFormat="1" x14ac:dyDescent="0.3">
      <c r="A60" s="1">
        <v>99803</v>
      </c>
      <c r="B60" s="15" t="s">
        <v>80</v>
      </c>
      <c r="C60" s="2" t="s">
        <v>32</v>
      </c>
      <c r="D60" s="3">
        <v>134.9</v>
      </c>
      <c r="E60" s="4">
        <v>1.63</v>
      </c>
      <c r="F60" s="4">
        <f>E60*D60</f>
        <v>219.887</v>
      </c>
    </row>
    <row r="61" spans="1:6" s="39" customFormat="1" x14ac:dyDescent="0.3">
      <c r="A61" s="1">
        <v>99806</v>
      </c>
      <c r="B61" s="15" t="s">
        <v>81</v>
      </c>
      <c r="C61" s="2" t="s">
        <v>32</v>
      </c>
      <c r="D61" s="3">
        <v>177.08</v>
      </c>
      <c r="E61" s="4">
        <v>0.67</v>
      </c>
      <c r="F61" s="4">
        <f>E61*D61</f>
        <v>118.64360000000002</v>
      </c>
    </row>
    <row r="62" spans="1:6" s="39" customFormat="1" x14ac:dyDescent="0.3">
      <c r="A62" s="1">
        <v>99814</v>
      </c>
      <c r="B62" s="15" t="s">
        <v>82</v>
      </c>
      <c r="C62" s="2" t="s">
        <v>32</v>
      </c>
      <c r="D62" s="3">
        <f>134.9+20.3+177.08</f>
        <v>332.28000000000003</v>
      </c>
      <c r="E62" s="4">
        <v>1.55</v>
      </c>
      <c r="F62" s="4">
        <f>E62*D62</f>
        <v>515.03400000000011</v>
      </c>
    </row>
    <row r="63" spans="1:6" s="39" customFormat="1" x14ac:dyDescent="0.3">
      <c r="A63" s="1">
        <v>99822</v>
      </c>
      <c r="B63" s="15" t="s">
        <v>83</v>
      </c>
      <c r="C63" s="2" t="s">
        <v>32</v>
      </c>
      <c r="D63" s="3">
        <v>1</v>
      </c>
      <c r="E63" s="4">
        <v>0.79</v>
      </c>
      <c r="F63" s="4">
        <f>E63*D63</f>
        <v>0.79</v>
      </c>
    </row>
    <row r="64" spans="1:6" s="39" customFormat="1" x14ac:dyDescent="0.3">
      <c r="A64" s="42"/>
      <c r="B64" s="37"/>
      <c r="C64" s="40"/>
      <c r="D64" s="38"/>
      <c r="E64" s="41"/>
      <c r="F64" s="41"/>
    </row>
    <row r="65" spans="1:6" s="39" customFormat="1" ht="31.5" customHeight="1" x14ac:dyDescent="0.3">
      <c r="A65" s="220" t="s">
        <v>160</v>
      </c>
      <c r="B65" s="221" t="s">
        <v>147</v>
      </c>
      <c r="C65" s="220" t="s">
        <v>0</v>
      </c>
      <c r="D65" s="222"/>
      <c r="E65" s="223"/>
      <c r="F65" s="223">
        <f>SUM(F66:F74)</f>
        <v>49.75023800000001</v>
      </c>
    </row>
    <row r="66" spans="1:6" s="39" customFormat="1" x14ac:dyDescent="0.3">
      <c r="A66" s="310">
        <v>142</v>
      </c>
      <c r="B66" s="311" t="s">
        <v>148</v>
      </c>
      <c r="C66" s="48" t="s">
        <v>26</v>
      </c>
      <c r="D66" s="48">
        <v>0.18</v>
      </c>
      <c r="E66" s="49">
        <v>26.18</v>
      </c>
      <c r="F66" s="49">
        <f>D66*E66</f>
        <v>4.7123999999999997</v>
      </c>
    </row>
    <row r="67" spans="1:6" x14ac:dyDescent="0.3">
      <c r="A67" s="310">
        <v>5061</v>
      </c>
      <c r="B67" s="311" t="s">
        <v>149</v>
      </c>
      <c r="C67" s="48" t="s">
        <v>7</v>
      </c>
      <c r="D67" s="310">
        <v>6.0000000000000001E-3</v>
      </c>
      <c r="E67" s="49">
        <v>23.36</v>
      </c>
      <c r="F67" s="49">
        <f t="shared" ref="F67:F74" si="5">D67*E67</f>
        <v>0.14016000000000001</v>
      </c>
    </row>
    <row r="68" spans="1:6" x14ac:dyDescent="0.3">
      <c r="A68" s="310">
        <v>5104</v>
      </c>
      <c r="B68" s="311" t="s">
        <v>150</v>
      </c>
      <c r="C68" s="48" t="s">
        <v>7</v>
      </c>
      <c r="D68" s="310">
        <v>1.1999999999999999E-3</v>
      </c>
      <c r="E68" s="49">
        <v>77.14</v>
      </c>
      <c r="F68" s="49">
        <f t="shared" si="5"/>
        <v>9.2567999999999998E-2</v>
      </c>
    </row>
    <row r="69" spans="1:6" x14ac:dyDescent="0.3">
      <c r="A69" s="310">
        <v>13388</v>
      </c>
      <c r="B69" s="311" t="s">
        <v>151</v>
      </c>
      <c r="C69" s="48" t="s">
        <v>7</v>
      </c>
      <c r="D69" s="310">
        <v>0.03</v>
      </c>
      <c r="E69" s="49">
        <v>139.41999999999999</v>
      </c>
      <c r="F69" s="49">
        <f t="shared" si="5"/>
        <v>4.1825999999999999</v>
      </c>
    </row>
    <row r="70" spans="1:6" x14ac:dyDescent="0.3">
      <c r="A70" s="310">
        <v>40873</v>
      </c>
      <c r="B70" s="311" t="s">
        <v>152</v>
      </c>
      <c r="C70" s="48" t="s">
        <v>6</v>
      </c>
      <c r="D70" s="310">
        <v>1.05</v>
      </c>
      <c r="E70" s="49">
        <v>32.700000000000003</v>
      </c>
      <c r="F70" s="49">
        <f t="shared" si="5"/>
        <v>34.335000000000008</v>
      </c>
    </row>
    <row r="71" spans="1:6" x14ac:dyDescent="0.3">
      <c r="A71" s="1">
        <v>88316</v>
      </c>
      <c r="B71" s="27" t="s">
        <v>27</v>
      </c>
      <c r="C71" s="2" t="s">
        <v>23</v>
      </c>
      <c r="D71" s="1">
        <v>0.20699999999999999</v>
      </c>
      <c r="E71" s="4">
        <v>16.829999999999998</v>
      </c>
      <c r="F71" s="4">
        <f t="shared" si="5"/>
        <v>3.4838099999999996</v>
      </c>
    </row>
    <row r="72" spans="1:6" x14ac:dyDescent="0.3">
      <c r="A72" s="1">
        <v>88323</v>
      </c>
      <c r="B72" s="27" t="s">
        <v>28</v>
      </c>
      <c r="C72" s="2" t="s">
        <v>23</v>
      </c>
      <c r="D72" s="1">
        <v>0.112</v>
      </c>
      <c r="E72" s="4">
        <v>20.66</v>
      </c>
      <c r="F72" s="4">
        <f t="shared" si="5"/>
        <v>2.31392</v>
      </c>
    </row>
    <row r="73" spans="1:6" x14ac:dyDescent="0.3">
      <c r="A73" s="1">
        <v>93281</v>
      </c>
      <c r="B73" s="27" t="s">
        <v>107</v>
      </c>
      <c r="C73" s="2" t="s">
        <v>9</v>
      </c>
      <c r="D73" s="1">
        <v>1.32E-2</v>
      </c>
      <c r="E73" s="4">
        <v>15.2</v>
      </c>
      <c r="F73" s="4">
        <f t="shared" si="5"/>
        <v>0.20063999999999999</v>
      </c>
    </row>
    <row r="74" spans="1:6" x14ac:dyDescent="0.3">
      <c r="A74" s="1">
        <v>93282</v>
      </c>
      <c r="B74" s="27" t="s">
        <v>29</v>
      </c>
      <c r="C74" s="2" t="s">
        <v>30</v>
      </c>
      <c r="D74" s="1">
        <v>1.83E-2</v>
      </c>
      <c r="E74" s="4">
        <v>15.8</v>
      </c>
      <c r="F74" s="4">
        <f t="shared" si="5"/>
        <v>0.28914000000000001</v>
      </c>
    </row>
    <row r="75" spans="1:6" s="234" customFormat="1" ht="31.5" customHeight="1" x14ac:dyDescent="0.3">
      <c r="A75" s="226" t="s">
        <v>161</v>
      </c>
      <c r="B75" s="227" t="s">
        <v>162</v>
      </c>
      <c r="C75" s="230" t="s">
        <v>0</v>
      </c>
      <c r="D75" s="228"/>
      <c r="E75" s="231"/>
      <c r="F75" s="223">
        <f>SUM(F76:F77)</f>
        <v>2.4013999999999998</v>
      </c>
    </row>
    <row r="76" spans="1:6" s="234" customFormat="1" x14ac:dyDescent="0.3">
      <c r="A76" s="29">
        <v>88309</v>
      </c>
      <c r="B76" s="16" t="s">
        <v>75</v>
      </c>
      <c r="C76" s="2" t="s">
        <v>23</v>
      </c>
      <c r="D76" s="7">
        <v>0.05</v>
      </c>
      <c r="E76" s="8">
        <v>21.1</v>
      </c>
      <c r="F76" s="54">
        <f>E76*D76</f>
        <v>1.0550000000000002</v>
      </c>
    </row>
    <row r="77" spans="1:6" s="234" customFormat="1" x14ac:dyDescent="0.3">
      <c r="A77" s="29" t="s">
        <v>85</v>
      </c>
      <c r="B77" s="16" t="s">
        <v>27</v>
      </c>
      <c r="C77" s="2" t="s">
        <v>23</v>
      </c>
      <c r="D77" s="7">
        <v>0.08</v>
      </c>
      <c r="E77" s="8">
        <v>16.829999999999998</v>
      </c>
      <c r="F77" s="54">
        <f>E77*D77</f>
        <v>1.3463999999999998</v>
      </c>
    </row>
    <row r="78" spans="1:6" s="234" customFormat="1" ht="29.25" customHeight="1" x14ac:dyDescent="0.3">
      <c r="A78" s="220" t="s">
        <v>176</v>
      </c>
      <c r="B78" s="233" t="s">
        <v>174</v>
      </c>
      <c r="C78" s="220"/>
      <c r="D78" s="222"/>
      <c r="E78" s="223"/>
      <c r="F78" s="223">
        <f>SUM(F79:F80)</f>
        <v>5.2755000000000001</v>
      </c>
    </row>
    <row r="79" spans="1:6" s="234" customFormat="1" x14ac:dyDescent="0.3">
      <c r="A79" s="1">
        <v>88310</v>
      </c>
      <c r="B79" s="177" t="s">
        <v>175</v>
      </c>
      <c r="C79" s="2" t="s">
        <v>23</v>
      </c>
      <c r="D79" s="3">
        <v>0.2</v>
      </c>
      <c r="E79" s="4">
        <v>22.17</v>
      </c>
      <c r="F79" s="4">
        <f t="shared" ref="F79:F80" si="6">D79*E79</f>
        <v>4.4340000000000002</v>
      </c>
    </row>
    <row r="80" spans="1:6" s="234" customFormat="1" x14ac:dyDescent="0.3">
      <c r="A80" s="1">
        <v>88316</v>
      </c>
      <c r="B80" s="177" t="s">
        <v>27</v>
      </c>
      <c r="C80" s="2" t="s">
        <v>23</v>
      </c>
      <c r="D80" s="3">
        <v>0.05</v>
      </c>
      <c r="E80" s="49">
        <v>16.829999999999998</v>
      </c>
      <c r="F80" s="4">
        <f t="shared" si="6"/>
        <v>0.84149999999999991</v>
      </c>
    </row>
    <row r="81" spans="1:6" ht="28.8" x14ac:dyDescent="0.3">
      <c r="A81" s="235" t="s">
        <v>180</v>
      </c>
      <c r="B81" s="236" t="s">
        <v>171</v>
      </c>
      <c r="C81" s="237" t="s">
        <v>0</v>
      </c>
      <c r="D81" s="238"/>
      <c r="E81" s="239"/>
      <c r="F81" s="240">
        <f>SUM(F82:F84)</f>
        <v>11.497558888888889</v>
      </c>
    </row>
    <row r="82" spans="1:6" ht="14.4" x14ac:dyDescent="0.3">
      <c r="A82" s="306" t="s">
        <v>177</v>
      </c>
      <c r="B82" s="325" t="s">
        <v>178</v>
      </c>
      <c r="C82" s="306" t="s">
        <v>179</v>
      </c>
      <c r="D82" s="308">
        <v>0.2</v>
      </c>
      <c r="E82" s="309">
        <f>557.99/18</f>
        <v>30.999444444444446</v>
      </c>
      <c r="F82" s="309">
        <f>D82*E82</f>
        <v>6.1998888888888892</v>
      </c>
    </row>
    <row r="83" spans="1:6" ht="14.4" x14ac:dyDescent="0.3">
      <c r="A83" s="191">
        <v>88310</v>
      </c>
      <c r="B83" s="188" t="s">
        <v>175</v>
      </c>
      <c r="C83" s="187" t="s">
        <v>23</v>
      </c>
      <c r="D83" s="189">
        <v>0.20100000000000001</v>
      </c>
      <c r="E83" s="190">
        <v>22.17</v>
      </c>
      <c r="F83" s="190">
        <f t="shared" ref="F83:F84" si="7">D83*E83</f>
        <v>4.4561700000000002</v>
      </c>
    </row>
    <row r="84" spans="1:6" ht="14.4" x14ac:dyDescent="0.3">
      <c r="A84" s="191">
        <v>88316</v>
      </c>
      <c r="B84" s="188" t="s">
        <v>27</v>
      </c>
      <c r="C84" s="187" t="s">
        <v>23</v>
      </c>
      <c r="D84" s="189">
        <v>0.05</v>
      </c>
      <c r="E84" s="190">
        <v>16.829999999999998</v>
      </c>
      <c r="F84" s="190">
        <f t="shared" si="7"/>
        <v>0.84149999999999991</v>
      </c>
    </row>
    <row r="85" spans="1:6" ht="28.8" x14ac:dyDescent="0.3">
      <c r="A85" s="235" t="s">
        <v>181</v>
      </c>
      <c r="B85" s="236" t="s">
        <v>186</v>
      </c>
      <c r="C85" s="235" t="s">
        <v>0</v>
      </c>
      <c r="D85" s="241"/>
      <c r="E85" s="240"/>
      <c r="F85" s="240">
        <f>SUM(F86:F89)</f>
        <v>24.764224444444444</v>
      </c>
    </row>
    <row r="86" spans="1:6" ht="14.4" x14ac:dyDescent="0.3">
      <c r="A86" s="191">
        <v>88310</v>
      </c>
      <c r="B86" s="188" t="s">
        <v>175</v>
      </c>
      <c r="C86" s="187" t="s">
        <v>23</v>
      </c>
      <c r="D86" s="189">
        <v>0.2</v>
      </c>
      <c r="E86" s="190">
        <v>22.17</v>
      </c>
      <c r="F86" s="190">
        <f>D86*E86</f>
        <v>4.4340000000000002</v>
      </c>
    </row>
    <row r="87" spans="1:6" ht="14.4" x14ac:dyDescent="0.3">
      <c r="A87" s="191">
        <v>88316</v>
      </c>
      <c r="B87" s="188" t="s">
        <v>27</v>
      </c>
      <c r="C87" s="187" t="s">
        <v>23</v>
      </c>
      <c r="D87" s="189">
        <v>7.5999999999999998E-2</v>
      </c>
      <c r="E87" s="190">
        <v>16.829999999999998</v>
      </c>
      <c r="F87" s="190">
        <f t="shared" ref="F87:F89" si="8">D87*E87</f>
        <v>1.2790799999999998</v>
      </c>
    </row>
    <row r="88" spans="1:6" ht="14.4" x14ac:dyDescent="0.3">
      <c r="A88" s="306">
        <v>34546</v>
      </c>
      <c r="B88" s="307" t="s">
        <v>184</v>
      </c>
      <c r="C88" s="306" t="s">
        <v>187</v>
      </c>
      <c r="D88" s="308">
        <v>1.93</v>
      </c>
      <c r="E88" s="309">
        <v>5.49</v>
      </c>
      <c r="F88" s="309">
        <f t="shared" si="8"/>
        <v>10.595700000000001</v>
      </c>
    </row>
    <row r="89" spans="1:6" ht="14.4" x14ac:dyDescent="0.3">
      <c r="A89" s="306" t="s">
        <v>177</v>
      </c>
      <c r="B89" s="325" t="s">
        <v>185</v>
      </c>
      <c r="C89" s="306" t="s">
        <v>179</v>
      </c>
      <c r="D89" s="308">
        <v>0.2</v>
      </c>
      <c r="E89" s="309">
        <f>760.99/18</f>
        <v>42.277222222222221</v>
      </c>
      <c r="F89" s="309">
        <f t="shared" si="8"/>
        <v>8.4554444444444439</v>
      </c>
    </row>
    <row r="90" spans="1:6" ht="28.8" x14ac:dyDescent="0.3">
      <c r="A90" s="235" t="s">
        <v>189</v>
      </c>
      <c r="B90" s="236" t="s">
        <v>183</v>
      </c>
      <c r="C90" s="235" t="s">
        <v>0</v>
      </c>
      <c r="D90" s="241"/>
      <c r="E90" s="240"/>
      <c r="F90" s="240">
        <f>SUM(F91:F94)</f>
        <v>31.364224444444446</v>
      </c>
    </row>
    <row r="91" spans="1:6" ht="14.4" x14ac:dyDescent="0.3">
      <c r="A91" s="191">
        <v>88310</v>
      </c>
      <c r="B91" s="188" t="s">
        <v>175</v>
      </c>
      <c r="C91" s="187" t="s">
        <v>23</v>
      </c>
      <c r="D91" s="189">
        <v>0.2</v>
      </c>
      <c r="E91" s="190">
        <v>22.17</v>
      </c>
      <c r="F91" s="190">
        <f>D91*E91</f>
        <v>4.4340000000000002</v>
      </c>
    </row>
    <row r="92" spans="1:6" ht="14.4" x14ac:dyDescent="0.3">
      <c r="A92" s="191">
        <v>88316</v>
      </c>
      <c r="B92" s="188" t="s">
        <v>27</v>
      </c>
      <c r="C92" s="187" t="s">
        <v>23</v>
      </c>
      <c r="D92" s="189">
        <v>7.5999999999999998E-2</v>
      </c>
      <c r="E92" s="190">
        <v>16.829999999999998</v>
      </c>
      <c r="F92" s="190">
        <f t="shared" ref="F92:F94" si="9">D92*E92</f>
        <v>1.2790799999999998</v>
      </c>
    </row>
    <row r="93" spans="1:6" ht="14.4" x14ac:dyDescent="0.3">
      <c r="A93" s="306">
        <v>34546</v>
      </c>
      <c r="B93" s="307" t="s">
        <v>184</v>
      </c>
      <c r="C93" s="306" t="s">
        <v>7</v>
      </c>
      <c r="D93" s="308">
        <v>1.93</v>
      </c>
      <c r="E93" s="309">
        <v>5.49</v>
      </c>
      <c r="F93" s="309">
        <f t="shared" si="9"/>
        <v>10.595700000000001</v>
      </c>
    </row>
    <row r="94" spans="1:6" ht="14.4" x14ac:dyDescent="0.3">
      <c r="A94" s="306" t="s">
        <v>177</v>
      </c>
      <c r="B94" s="325" t="s">
        <v>185</v>
      </c>
      <c r="C94" s="306" t="s">
        <v>179</v>
      </c>
      <c r="D94" s="308">
        <v>0.2</v>
      </c>
      <c r="E94" s="309">
        <f>1354.99/18</f>
        <v>75.277222222222221</v>
      </c>
      <c r="F94" s="309">
        <f t="shared" si="9"/>
        <v>15.055444444444445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="110" zoomScaleNormal="100" zoomScaleSheetLayoutView="110" workbookViewId="0">
      <selection activeCell="H6" sqref="H6:H7"/>
    </sheetView>
  </sheetViews>
  <sheetFormatPr defaultColWidth="9.109375" defaultRowHeight="19.649999999999999" customHeight="1" x14ac:dyDescent="0.3"/>
  <cols>
    <col min="1" max="1" width="10.33203125" style="280" bestFit="1" customWidth="1"/>
    <col min="2" max="2" width="46.33203125" style="280" customWidth="1"/>
    <col min="3" max="3" width="13.44140625" style="280" bestFit="1" customWidth="1"/>
    <col min="4" max="7" width="12.109375" style="280" customWidth="1"/>
    <col min="8" max="8" width="14.6640625" style="280" customWidth="1"/>
    <col min="9" max="16384" width="9.109375" style="280"/>
  </cols>
  <sheetData>
    <row r="1" spans="1:9" ht="13.2" x14ac:dyDescent="0.3">
      <c r="A1" s="342" t="s">
        <v>255</v>
      </c>
      <c r="B1" s="343"/>
      <c r="C1" s="343"/>
      <c r="D1" s="343"/>
      <c r="E1" s="343"/>
      <c r="F1" s="343"/>
      <c r="G1" s="343"/>
      <c r="H1" s="344"/>
    </row>
    <row r="2" spans="1:9" ht="13.2" x14ac:dyDescent="0.3">
      <c r="A2" s="345"/>
      <c r="B2" s="346"/>
      <c r="C2" s="346"/>
      <c r="D2" s="346"/>
      <c r="E2" s="346"/>
      <c r="F2" s="346"/>
      <c r="G2" s="346"/>
      <c r="H2" s="347"/>
    </row>
    <row r="3" spans="1:9" ht="13.2" x14ac:dyDescent="0.3">
      <c r="A3" s="345"/>
      <c r="B3" s="346"/>
      <c r="C3" s="346"/>
      <c r="D3" s="346"/>
      <c r="E3" s="346"/>
      <c r="F3" s="346"/>
      <c r="G3" s="346"/>
      <c r="H3" s="347"/>
    </row>
    <row r="4" spans="1:9" ht="13.2" x14ac:dyDescent="0.3">
      <c r="A4" s="345"/>
      <c r="B4" s="346"/>
      <c r="C4" s="346"/>
      <c r="D4" s="346"/>
      <c r="E4" s="346"/>
      <c r="F4" s="346"/>
      <c r="G4" s="346"/>
      <c r="H4" s="347"/>
    </row>
    <row r="5" spans="1:9" ht="13.2" x14ac:dyDescent="0.3">
      <c r="A5" s="345"/>
      <c r="B5" s="346"/>
      <c r="C5" s="346"/>
      <c r="D5" s="346"/>
      <c r="E5" s="346"/>
      <c r="F5" s="346"/>
      <c r="G5" s="346"/>
      <c r="H5" s="347"/>
    </row>
    <row r="6" spans="1:9" s="281" customFormat="1" ht="13.5" customHeight="1" x14ac:dyDescent="0.3">
      <c r="A6" s="300" t="s">
        <v>222</v>
      </c>
      <c r="B6" s="348" t="s">
        <v>264</v>
      </c>
      <c r="C6" s="348"/>
      <c r="D6" s="348"/>
      <c r="E6" s="348"/>
      <c r="F6" s="348"/>
      <c r="G6" s="349" t="s">
        <v>265</v>
      </c>
      <c r="H6" s="350" t="s">
        <v>266</v>
      </c>
    </row>
    <row r="7" spans="1:9" s="281" customFormat="1" ht="13.5" customHeight="1" x14ac:dyDescent="0.3">
      <c r="A7" s="300" t="s">
        <v>223</v>
      </c>
      <c r="B7" s="348" t="s">
        <v>271</v>
      </c>
      <c r="C7" s="348"/>
      <c r="D7" s="348"/>
      <c r="E7" s="348"/>
      <c r="F7" s="348"/>
      <c r="G7" s="349"/>
      <c r="H7" s="350"/>
    </row>
    <row r="8" spans="1:9" s="281" customFormat="1" ht="13.5" customHeight="1" x14ac:dyDescent="0.3">
      <c r="A8" s="300" t="s">
        <v>224</v>
      </c>
      <c r="B8" s="348" t="s">
        <v>262</v>
      </c>
      <c r="C8" s="348"/>
      <c r="D8" s="348"/>
      <c r="E8" s="348"/>
      <c r="F8" s="348"/>
      <c r="G8" s="349" t="str">
        <f>[2]RESUMO!C8</f>
        <v>BDI:</v>
      </c>
      <c r="H8" s="352">
        <v>0.28349999999999997</v>
      </c>
    </row>
    <row r="9" spans="1:9" s="281" customFormat="1" ht="13.5" customHeight="1" thickBot="1" x14ac:dyDescent="0.35">
      <c r="A9" s="301" t="s">
        <v>225</v>
      </c>
      <c r="B9" s="354" t="s">
        <v>263</v>
      </c>
      <c r="C9" s="354"/>
      <c r="D9" s="354"/>
      <c r="E9" s="354"/>
      <c r="F9" s="354"/>
      <c r="G9" s="351"/>
      <c r="H9" s="353"/>
    </row>
    <row r="10" spans="1:9" ht="13.2" x14ac:dyDescent="0.3">
      <c r="A10" s="340"/>
      <c r="B10" s="340"/>
      <c r="C10" s="340"/>
      <c r="D10" s="340"/>
      <c r="E10" s="340"/>
      <c r="F10" s="340"/>
      <c r="G10" s="340"/>
      <c r="H10" s="340"/>
      <c r="I10" s="282"/>
    </row>
    <row r="11" spans="1:9" ht="19.649999999999999" customHeight="1" x14ac:dyDescent="0.3">
      <c r="A11" s="288" t="s">
        <v>226</v>
      </c>
      <c r="B11" s="288" t="s">
        <v>256</v>
      </c>
      <c r="C11" s="288" t="s">
        <v>257</v>
      </c>
      <c r="D11" s="288" t="s">
        <v>258</v>
      </c>
      <c r="E11" s="288" t="s">
        <v>259</v>
      </c>
      <c r="F11" s="288" t="s">
        <v>258</v>
      </c>
      <c r="G11" s="288" t="s">
        <v>258</v>
      </c>
      <c r="H11" s="288" t="s">
        <v>91</v>
      </c>
    </row>
    <row r="12" spans="1:9" ht="17.100000000000001" customHeight="1" x14ac:dyDescent="0.3">
      <c r="A12" s="289">
        <f>'P. Referência'!B8</f>
        <v>1</v>
      </c>
      <c r="B12" s="290" t="str">
        <f>'P. Referência'!D8</f>
        <v>ADMINISTRAÇÃO DA OBRA</v>
      </c>
      <c r="C12" s="283">
        <f>'P. Referência'!I11</f>
        <v>5445.83</v>
      </c>
      <c r="D12" s="291">
        <v>1</v>
      </c>
      <c r="E12" s="283">
        <f>$C12*F12</f>
        <v>5445.83</v>
      </c>
      <c r="F12" s="292">
        <v>1</v>
      </c>
      <c r="G12" s="292">
        <f>F12</f>
        <v>1</v>
      </c>
      <c r="H12" s="284">
        <f>E12</f>
        <v>5445.83</v>
      </c>
    </row>
    <row r="13" spans="1:9" ht="17.100000000000001" customHeight="1" x14ac:dyDescent="0.3">
      <c r="A13" s="289">
        <f>'P. Referência'!B13</f>
        <v>2</v>
      </c>
      <c r="B13" s="290" t="str">
        <f>'P. Referência'!D13</f>
        <v>SERVIÇOS PRELIMINARES</v>
      </c>
      <c r="C13" s="283">
        <f>'P. Referência'!I17</f>
        <v>1917.31</v>
      </c>
      <c r="D13" s="291">
        <v>1</v>
      </c>
      <c r="E13" s="283">
        <f t="shared" ref="E13:E20" si="0">$C13*F13</f>
        <v>1917.31</v>
      </c>
      <c r="F13" s="292">
        <v>1</v>
      </c>
      <c r="G13" s="292">
        <f t="shared" ref="G13:G20" si="1">F13</f>
        <v>1</v>
      </c>
      <c r="H13" s="284">
        <f t="shared" ref="H13:H20" si="2">E13</f>
        <v>1917.31</v>
      </c>
    </row>
    <row r="14" spans="1:9" ht="17.100000000000001" customHeight="1" x14ac:dyDescent="0.3">
      <c r="A14" s="289">
        <f>'P. Referência'!B19</f>
        <v>3</v>
      </c>
      <c r="B14" s="290" t="str">
        <f>'P. Referência'!D19</f>
        <v>MOBILIZAÇÃO E DESMOBILIZAÇÃO DE OBRA</v>
      </c>
      <c r="C14" s="283">
        <f>'P. Referência'!I22</f>
        <v>2200.31</v>
      </c>
      <c r="D14" s="291">
        <v>1</v>
      </c>
      <c r="E14" s="283">
        <f t="shared" si="0"/>
        <v>2200.31</v>
      </c>
      <c r="F14" s="292">
        <v>1</v>
      </c>
      <c r="G14" s="292">
        <f t="shared" si="1"/>
        <v>1</v>
      </c>
      <c r="H14" s="284">
        <f t="shared" si="2"/>
        <v>2200.31</v>
      </c>
    </row>
    <row r="15" spans="1:9" ht="17.100000000000001" customHeight="1" x14ac:dyDescent="0.3">
      <c r="A15" s="289">
        <f>'P. Referência'!B24</f>
        <v>4</v>
      </c>
      <c r="B15" s="290" t="str">
        <f>'P. Referência'!D24</f>
        <v>COBERTURA E FORRO</v>
      </c>
      <c r="C15" s="283">
        <f>'P. Referência'!I33</f>
        <v>26138.779999999995</v>
      </c>
      <c r="D15" s="291">
        <v>1</v>
      </c>
      <c r="E15" s="283">
        <f t="shared" si="0"/>
        <v>26138.779999999995</v>
      </c>
      <c r="F15" s="292">
        <v>1</v>
      </c>
      <c r="G15" s="292">
        <f t="shared" si="1"/>
        <v>1</v>
      </c>
      <c r="H15" s="284">
        <f t="shared" si="2"/>
        <v>26138.779999999995</v>
      </c>
    </row>
    <row r="16" spans="1:9" ht="17.100000000000001" customHeight="1" x14ac:dyDescent="0.3">
      <c r="A16" s="289">
        <f>'P. Referência'!B35</f>
        <v>5</v>
      </c>
      <c r="B16" s="290" t="str">
        <f>'P. Referência'!D35</f>
        <v>REVETIMENTO DE PAREDE</v>
      </c>
      <c r="C16" s="283">
        <f>'P. Referência'!I39</f>
        <v>197.24</v>
      </c>
      <c r="D16" s="291">
        <v>1</v>
      </c>
      <c r="E16" s="283">
        <f t="shared" si="0"/>
        <v>197.24</v>
      </c>
      <c r="F16" s="292">
        <v>1</v>
      </c>
      <c r="G16" s="292">
        <f t="shared" si="1"/>
        <v>1</v>
      </c>
      <c r="H16" s="284">
        <f t="shared" si="2"/>
        <v>197.24</v>
      </c>
    </row>
    <row r="17" spans="1:8" ht="17.100000000000001" customHeight="1" x14ac:dyDescent="0.3">
      <c r="A17" s="289">
        <f>'P. Referência'!B41</f>
        <v>6</v>
      </c>
      <c r="B17" s="290" t="str">
        <f>'P. Referência'!D41</f>
        <v>PINTURA</v>
      </c>
      <c r="C17" s="283">
        <f>'P. Referência'!I51</f>
        <v>28165.82</v>
      </c>
      <c r="D17" s="291">
        <v>1</v>
      </c>
      <c r="E17" s="283">
        <f t="shared" si="0"/>
        <v>28165.82</v>
      </c>
      <c r="F17" s="292">
        <v>1</v>
      </c>
      <c r="G17" s="292">
        <f t="shared" si="1"/>
        <v>1</v>
      </c>
      <c r="H17" s="284">
        <f t="shared" si="2"/>
        <v>28165.82</v>
      </c>
    </row>
    <row r="18" spans="1:8" ht="17.100000000000001" customHeight="1" x14ac:dyDescent="0.3">
      <c r="A18" s="289">
        <f>'P. Referência'!B53</f>
        <v>7</v>
      </c>
      <c r="B18" s="290" t="str">
        <f>'P. Referência'!D53</f>
        <v>INSTALAÇÕES HIDRÁULICAS</v>
      </c>
      <c r="C18" s="283">
        <f>'P. Referência'!I63</f>
        <v>2097.6600000000003</v>
      </c>
      <c r="D18" s="291">
        <v>1</v>
      </c>
      <c r="E18" s="283">
        <f t="shared" si="0"/>
        <v>2097.6600000000003</v>
      </c>
      <c r="F18" s="292">
        <v>1</v>
      </c>
      <c r="G18" s="292">
        <f t="shared" si="1"/>
        <v>1</v>
      </c>
      <c r="H18" s="284">
        <f t="shared" si="2"/>
        <v>2097.6600000000003</v>
      </c>
    </row>
    <row r="19" spans="1:8" ht="17.100000000000001" customHeight="1" x14ac:dyDescent="0.3">
      <c r="A19" s="289">
        <f>'P. Referência'!B65</f>
        <v>8</v>
      </c>
      <c r="B19" s="290" t="str">
        <f>'P. Referência'!D65</f>
        <v>INSTALAÇÕES ELÉTRICAS</v>
      </c>
      <c r="C19" s="283">
        <f>'P. Referência'!I74</f>
        <v>2510.75</v>
      </c>
      <c r="D19" s="291">
        <v>1</v>
      </c>
      <c r="E19" s="283">
        <f t="shared" si="0"/>
        <v>2510.75</v>
      </c>
      <c r="F19" s="292">
        <v>1</v>
      </c>
      <c r="G19" s="292">
        <f t="shared" si="1"/>
        <v>1</v>
      </c>
      <c r="H19" s="284">
        <f t="shared" si="2"/>
        <v>2510.75</v>
      </c>
    </row>
    <row r="20" spans="1:8" ht="17.100000000000001" customHeight="1" x14ac:dyDescent="0.3">
      <c r="A20" s="289">
        <f>'P. Referência'!B76</f>
        <v>9</v>
      </c>
      <c r="B20" s="290" t="str">
        <f>'P. Referência'!D76</f>
        <v>SERVIÇOS COMPLEMENTARES</v>
      </c>
      <c r="C20" s="283">
        <f>'P. Referência'!I81</f>
        <v>3736.13</v>
      </c>
      <c r="D20" s="291">
        <v>1</v>
      </c>
      <c r="E20" s="283">
        <f t="shared" si="0"/>
        <v>3736.13</v>
      </c>
      <c r="F20" s="292">
        <v>1</v>
      </c>
      <c r="G20" s="292">
        <f t="shared" si="1"/>
        <v>1</v>
      </c>
      <c r="H20" s="284">
        <f t="shared" si="2"/>
        <v>3736.13</v>
      </c>
    </row>
    <row r="21" spans="1:8" ht="19.649999999999999" customHeight="1" x14ac:dyDescent="0.3">
      <c r="A21" s="341" t="s">
        <v>260</v>
      </c>
      <c r="B21" s="341"/>
      <c r="C21" s="285">
        <f>SUM(C12:C20)</f>
        <v>72409.83</v>
      </c>
      <c r="D21" s="293">
        <f>SUM(D12:D20)/(A20)</f>
        <v>1</v>
      </c>
      <c r="E21" s="294">
        <f>SUM(E12:E20)</f>
        <v>72409.83</v>
      </c>
      <c r="F21" s="295">
        <f>E21/C21</f>
        <v>1</v>
      </c>
      <c r="G21" s="299">
        <f>SUM(G12:G20)/A20</f>
        <v>1</v>
      </c>
      <c r="H21" s="298">
        <f>SUM(H12:H20)</f>
        <v>72409.83</v>
      </c>
    </row>
    <row r="22" spans="1:8" ht="19.649999999999999" customHeight="1" x14ac:dyDescent="0.3">
      <c r="A22" s="341" t="s">
        <v>261</v>
      </c>
      <c r="B22" s="341"/>
      <c r="C22" s="286"/>
      <c r="D22" s="287"/>
      <c r="E22" s="297">
        <f>E21</f>
        <v>72409.83</v>
      </c>
      <c r="F22" s="293">
        <f>F21</f>
        <v>1</v>
      </c>
      <c r="G22" s="293"/>
      <c r="H22" s="296"/>
    </row>
  </sheetData>
  <mergeCells count="12">
    <mergeCell ref="A10:H10"/>
    <mergeCell ref="A21:B21"/>
    <mergeCell ref="A22:B22"/>
    <mergeCell ref="A1:H5"/>
    <mergeCell ref="B6:F6"/>
    <mergeCell ref="G6:G7"/>
    <mergeCell ref="H6:H7"/>
    <mergeCell ref="B7:F7"/>
    <mergeCell ref="B8:F8"/>
    <mergeCell ref="G8:G9"/>
    <mergeCell ref="H8:H9"/>
    <mergeCell ref="B9:F9"/>
  </mergeCells>
  <pageMargins left="0.78740157480314965" right="0.39370078740157483" top="0.78740157480314965" bottom="0.98425196850393704" header="0.78740157480314965" footer="0.31496062992125984"/>
  <pageSetup paperSize="9" scale="53" orientation="landscape" r:id="rId1"/>
  <headerFooter>
    <oddHeader>&amp;L&amp;G&amp;R&amp;G</oddHeader>
    <oddFooter>&amp;RPágina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="115" zoomScaleNormal="100" zoomScaleSheetLayoutView="115" workbookViewId="0">
      <selection activeCell="B10" sqref="B10:F10"/>
    </sheetView>
  </sheetViews>
  <sheetFormatPr defaultColWidth="9.109375" defaultRowHeight="13.2" x14ac:dyDescent="0.25"/>
  <cols>
    <col min="1" max="1" width="10.33203125" style="244" customWidth="1"/>
    <col min="2" max="2" width="10.44140625" style="244" customWidth="1"/>
    <col min="3" max="3" width="52.88671875" style="244" customWidth="1"/>
    <col min="4" max="4" width="9.33203125" style="244" customWidth="1"/>
    <col min="5" max="5" width="17.33203125" style="244" customWidth="1"/>
    <col min="6" max="6" width="10.5546875" style="244" customWidth="1"/>
    <col min="7" max="7" width="18" style="244" bestFit="1" customWidth="1"/>
    <col min="8" max="8" width="15.44140625" style="244" customWidth="1"/>
    <col min="9" max="10" width="9.109375" style="244" customWidth="1"/>
    <col min="11" max="11" width="15.6640625" style="244" customWidth="1"/>
    <col min="12" max="13" width="9.109375" style="244" customWidth="1"/>
    <col min="14" max="16384" width="9.109375" style="244"/>
  </cols>
  <sheetData>
    <row r="1" spans="1:11" ht="15" customHeight="1" x14ac:dyDescent="0.25">
      <c r="A1" s="412" t="s">
        <v>221</v>
      </c>
      <c r="B1" s="413"/>
      <c r="C1" s="413"/>
      <c r="D1" s="413"/>
      <c r="E1" s="413"/>
      <c r="F1" s="413"/>
      <c r="G1" s="414"/>
    </row>
    <row r="2" spans="1:11" ht="15" customHeight="1" x14ac:dyDescent="0.25">
      <c r="A2" s="415"/>
      <c r="B2" s="416"/>
      <c r="C2" s="416"/>
      <c r="D2" s="416"/>
      <c r="E2" s="416"/>
      <c r="F2" s="416"/>
      <c r="G2" s="417"/>
    </row>
    <row r="3" spans="1:11" ht="15" customHeight="1" x14ac:dyDescent="0.25">
      <c r="A3" s="415"/>
      <c r="B3" s="416"/>
      <c r="C3" s="416"/>
      <c r="D3" s="416"/>
      <c r="E3" s="416"/>
      <c r="F3" s="416"/>
      <c r="G3" s="417"/>
    </row>
    <row r="4" spans="1:11" ht="15" customHeight="1" x14ac:dyDescent="0.25">
      <c r="A4" s="415"/>
      <c r="B4" s="416"/>
      <c r="C4" s="416"/>
      <c r="D4" s="416"/>
      <c r="E4" s="416"/>
      <c r="F4" s="416"/>
      <c r="G4" s="417"/>
    </row>
    <row r="5" spans="1:11" ht="15" customHeight="1" thickBot="1" x14ac:dyDescent="0.3">
      <c r="A5" s="418"/>
      <c r="B5" s="419"/>
      <c r="C5" s="419"/>
      <c r="D5" s="419"/>
      <c r="E5" s="419"/>
      <c r="F5" s="419"/>
      <c r="G5" s="420"/>
    </row>
    <row r="6" spans="1:11" ht="15" customHeight="1" thickBot="1" x14ac:dyDescent="0.3">
      <c r="A6" s="245" t="s">
        <v>222</v>
      </c>
      <c r="B6" s="409" t="s">
        <v>273</v>
      </c>
      <c r="C6" s="409"/>
      <c r="D6" s="409"/>
      <c r="E6" s="409"/>
      <c r="F6" s="410" t="str">
        <f>[3]RESUMO!C6</f>
        <v>REF.:</v>
      </c>
      <c r="G6" s="421" t="s">
        <v>274</v>
      </c>
      <c r="H6" s="246"/>
    </row>
    <row r="7" spans="1:11" ht="15" customHeight="1" thickBot="1" x14ac:dyDescent="0.3">
      <c r="A7" s="245" t="s">
        <v>223</v>
      </c>
      <c r="B7" s="409" t="s">
        <v>275</v>
      </c>
      <c r="C7" s="409"/>
      <c r="D7" s="409"/>
      <c r="E7" s="409"/>
      <c r="F7" s="410"/>
      <c r="G7" s="421"/>
      <c r="H7" s="247"/>
    </row>
    <row r="8" spans="1:11" ht="15" customHeight="1" thickBot="1" x14ac:dyDescent="0.3">
      <c r="A8" s="245" t="s">
        <v>224</v>
      </c>
      <c r="B8" s="409" t="s">
        <v>262</v>
      </c>
      <c r="C8" s="409"/>
      <c r="D8" s="409"/>
      <c r="E8" s="409"/>
      <c r="F8" s="410" t="str">
        <f>[3]RESUMO!C8</f>
        <v>BDI:</v>
      </c>
      <c r="G8" s="411">
        <f>G25</f>
        <v>28.347674918197008</v>
      </c>
      <c r="H8" s="247"/>
    </row>
    <row r="9" spans="1:11" ht="15" customHeight="1" thickBot="1" x14ac:dyDescent="0.3">
      <c r="A9" s="248" t="s">
        <v>225</v>
      </c>
      <c r="B9" s="409" t="s">
        <v>276</v>
      </c>
      <c r="C9" s="409"/>
      <c r="D9" s="409"/>
      <c r="E9" s="409"/>
      <c r="F9" s="410"/>
      <c r="G9" s="411"/>
      <c r="H9" s="247"/>
    </row>
    <row r="10" spans="1:11" ht="28.2" thickBot="1" x14ac:dyDescent="0.3">
      <c r="A10" s="249" t="s">
        <v>226</v>
      </c>
      <c r="B10" s="387" t="s">
        <v>227</v>
      </c>
      <c r="C10" s="388"/>
      <c r="D10" s="388"/>
      <c r="E10" s="388"/>
      <c r="F10" s="389"/>
      <c r="G10" s="250" t="s">
        <v>228</v>
      </c>
    </row>
    <row r="11" spans="1:11" ht="14.4" thickBot="1" x14ac:dyDescent="0.3">
      <c r="A11" s="251" t="s">
        <v>229</v>
      </c>
      <c r="B11" s="390" t="s">
        <v>33</v>
      </c>
      <c r="C11" s="391"/>
      <c r="D11" s="391"/>
      <c r="E11" s="391"/>
      <c r="F11" s="392"/>
      <c r="G11" s="252">
        <f>G12+G13+G14+G15</f>
        <v>7.3</v>
      </c>
      <c r="I11" s="253" t="s">
        <v>230</v>
      </c>
      <c r="J11" s="253" t="s">
        <v>231</v>
      </c>
    </row>
    <row r="12" spans="1:11" ht="13.8" thickBot="1" x14ac:dyDescent="0.3">
      <c r="A12" s="254" t="s">
        <v>99</v>
      </c>
      <c r="B12" s="393" t="s">
        <v>232</v>
      </c>
      <c r="C12" s="394"/>
      <c r="D12" s="395"/>
      <c r="E12" s="395"/>
      <c r="F12" s="396"/>
      <c r="G12" s="255">
        <v>4</v>
      </c>
      <c r="I12" s="256">
        <v>5.5</v>
      </c>
      <c r="J12" s="257">
        <v>3</v>
      </c>
      <c r="K12" s="244">
        <f>G12/100</f>
        <v>0.04</v>
      </c>
    </row>
    <row r="13" spans="1:11" ht="13.8" thickBot="1" x14ac:dyDescent="0.3">
      <c r="A13" s="258" t="s">
        <v>38</v>
      </c>
      <c r="B13" s="367" t="s">
        <v>233</v>
      </c>
      <c r="C13" s="386"/>
      <c r="D13" s="369"/>
      <c r="E13" s="369"/>
      <c r="F13" s="370"/>
      <c r="G13" s="259">
        <v>1.23</v>
      </c>
      <c r="I13" s="256">
        <v>1.39</v>
      </c>
      <c r="J13" s="257">
        <v>0.59</v>
      </c>
      <c r="K13" s="244">
        <f>G13/100</f>
        <v>1.23E-2</v>
      </c>
    </row>
    <row r="14" spans="1:11" ht="13.8" thickBot="1" x14ac:dyDescent="0.3">
      <c r="A14" s="260" t="s">
        <v>234</v>
      </c>
      <c r="B14" s="367" t="s">
        <v>235</v>
      </c>
      <c r="C14" s="386"/>
      <c r="D14" s="369"/>
      <c r="E14" s="369"/>
      <c r="F14" s="370"/>
      <c r="G14" s="259">
        <v>1.27</v>
      </c>
      <c r="I14" s="256">
        <v>1.27</v>
      </c>
      <c r="J14" s="257">
        <v>0.97</v>
      </c>
      <c r="K14" s="244">
        <f>G14/100</f>
        <v>1.2699999999999999E-2</v>
      </c>
    </row>
    <row r="15" spans="1:11" ht="13.8" thickBot="1" x14ac:dyDescent="0.3">
      <c r="A15" s="260" t="s">
        <v>236</v>
      </c>
      <c r="B15" s="397" t="s">
        <v>237</v>
      </c>
      <c r="C15" s="398"/>
      <c r="D15" s="399"/>
      <c r="E15" s="399"/>
      <c r="F15" s="400"/>
      <c r="G15" s="261">
        <v>0.8</v>
      </c>
      <c r="I15" s="262">
        <v>1</v>
      </c>
      <c r="J15" s="263">
        <v>0.8</v>
      </c>
      <c r="K15" s="244">
        <f>G15/100</f>
        <v>8.0000000000000002E-3</v>
      </c>
    </row>
    <row r="16" spans="1:11" ht="13.8" thickBot="1" x14ac:dyDescent="0.3">
      <c r="A16" s="251" t="s">
        <v>238</v>
      </c>
      <c r="B16" s="390" t="s">
        <v>239</v>
      </c>
      <c r="C16" s="401"/>
      <c r="D16" s="402"/>
      <c r="E16" s="402"/>
      <c r="F16" s="403"/>
      <c r="G16" s="252">
        <f>G17</f>
        <v>7.4</v>
      </c>
    </row>
    <row r="17" spans="1:14" ht="13.8" thickBot="1" x14ac:dyDescent="0.3">
      <c r="A17" s="264" t="s">
        <v>39</v>
      </c>
      <c r="B17" s="404" t="s">
        <v>240</v>
      </c>
      <c r="C17" s="405"/>
      <c r="D17" s="406"/>
      <c r="E17" s="406"/>
      <c r="F17" s="407"/>
      <c r="G17" s="265">
        <v>7.4</v>
      </c>
      <c r="I17" s="256">
        <v>8.9600000000000009</v>
      </c>
      <c r="J17" s="257">
        <v>6.16</v>
      </c>
      <c r="K17" s="244">
        <f>G17/100</f>
        <v>7.400000000000001E-2</v>
      </c>
    </row>
    <row r="18" spans="1:14" ht="13.8" thickBot="1" x14ac:dyDescent="0.3">
      <c r="A18" s="251" t="s">
        <v>241</v>
      </c>
      <c r="B18" s="390" t="s">
        <v>242</v>
      </c>
      <c r="C18" s="401"/>
      <c r="D18" s="402"/>
      <c r="E18" s="402"/>
      <c r="F18" s="403"/>
      <c r="G18" s="252">
        <f>G19+G20+G21+G22</f>
        <v>10.15</v>
      </c>
      <c r="I18" s="266"/>
      <c r="J18" s="266"/>
      <c r="K18" s="244">
        <f>SUM(K19:K22)</f>
        <v>0.10150000000000001</v>
      </c>
    </row>
    <row r="19" spans="1:14" x14ac:dyDescent="0.25">
      <c r="A19" s="267" t="s">
        <v>40</v>
      </c>
      <c r="B19" s="393" t="s">
        <v>243</v>
      </c>
      <c r="C19" s="408"/>
      <c r="D19" s="395"/>
      <c r="E19" s="395"/>
      <c r="F19" s="396"/>
      <c r="G19" s="268">
        <v>2</v>
      </c>
      <c r="I19" s="266"/>
      <c r="J19" s="266"/>
      <c r="K19" s="244">
        <f>G19/100</f>
        <v>0.02</v>
      </c>
    </row>
    <row r="20" spans="1:14" x14ac:dyDescent="0.25">
      <c r="A20" s="269" t="s">
        <v>37</v>
      </c>
      <c r="B20" s="367" t="s">
        <v>244</v>
      </c>
      <c r="C20" s="368"/>
      <c r="D20" s="369"/>
      <c r="E20" s="369"/>
      <c r="F20" s="370"/>
      <c r="G20" s="270">
        <v>3</v>
      </c>
      <c r="I20" s="266"/>
      <c r="J20" s="266"/>
      <c r="K20" s="244">
        <f>G20/100</f>
        <v>0.03</v>
      </c>
    </row>
    <row r="21" spans="1:14" x14ac:dyDescent="0.25">
      <c r="A21" s="271" t="s">
        <v>245</v>
      </c>
      <c r="B21" s="367" t="s">
        <v>246</v>
      </c>
      <c r="C21" s="386"/>
      <c r="D21" s="369"/>
      <c r="E21" s="369"/>
      <c r="F21" s="370"/>
      <c r="G21" s="272">
        <v>0.65</v>
      </c>
      <c r="I21" s="266"/>
      <c r="J21" s="266"/>
      <c r="K21" s="244">
        <f>G21/100</f>
        <v>6.5000000000000006E-3</v>
      </c>
    </row>
    <row r="22" spans="1:14" x14ac:dyDescent="0.25">
      <c r="A22" s="269" t="s">
        <v>247</v>
      </c>
      <c r="B22" s="367" t="s">
        <v>248</v>
      </c>
      <c r="C22" s="368"/>
      <c r="D22" s="369"/>
      <c r="E22" s="369"/>
      <c r="F22" s="370"/>
      <c r="G22" s="270">
        <v>4.5</v>
      </c>
      <c r="I22" s="266"/>
      <c r="J22" s="266"/>
      <c r="K22" s="273">
        <f>G22/100</f>
        <v>4.4999999999999998E-2</v>
      </c>
    </row>
    <row r="23" spans="1:14" ht="13.8" thickBot="1" x14ac:dyDescent="0.3">
      <c r="A23" s="371" t="s">
        <v>249</v>
      </c>
      <c r="B23" s="372"/>
      <c r="C23" s="372"/>
      <c r="D23" s="372"/>
      <c r="E23" s="372"/>
      <c r="F23" s="372"/>
      <c r="G23" s="373"/>
      <c r="I23" s="266"/>
      <c r="J23" s="266"/>
    </row>
    <row r="24" spans="1:14" ht="25.2" thickBot="1" x14ac:dyDescent="0.45">
      <c r="A24" s="374" t="s">
        <v>250</v>
      </c>
      <c r="B24" s="375"/>
      <c r="C24" s="375"/>
      <c r="D24" s="375"/>
      <c r="E24" s="375"/>
      <c r="F24" s="375"/>
      <c r="G24" s="376"/>
      <c r="I24" s="266"/>
      <c r="J24" s="266"/>
      <c r="K24" s="274">
        <f>(((1+$K$12+$K$15+$K$14)*(1+$K$13)*(1+$K$17)/(1-K18))-1)*100</f>
        <v>28.347674918197008</v>
      </c>
    </row>
    <row r="25" spans="1:14" ht="30.75" customHeight="1" thickBot="1" x14ac:dyDescent="0.3">
      <c r="A25" s="377" t="s">
        <v>251</v>
      </c>
      <c r="B25" s="378"/>
      <c r="C25" s="378"/>
      <c r="D25" s="378"/>
      <c r="E25" s="378"/>
      <c r="F25" s="379"/>
      <c r="G25" s="275">
        <f>(((1+$K$12+$K$15+$K$14)*(1+$K$13)*(1+$K$17)/(1-K18))-1)*100</f>
        <v>28.347674918197008</v>
      </c>
      <c r="I25" s="266"/>
      <c r="J25" s="266"/>
    </row>
    <row r="26" spans="1:14" ht="16.2" thickBot="1" x14ac:dyDescent="0.3">
      <c r="A26" s="380" t="s">
        <v>252</v>
      </c>
      <c r="B26" s="381"/>
      <c r="C26" s="381"/>
      <c r="D26" s="381"/>
      <c r="E26" s="381"/>
      <c r="F26" s="382"/>
      <c r="G26" s="276">
        <f>'P. Referência'!I83</f>
        <v>72409.83</v>
      </c>
      <c r="I26" s="277"/>
      <c r="J26" s="277"/>
    </row>
    <row r="27" spans="1:14" ht="13.8" thickBot="1" x14ac:dyDescent="0.3">
      <c r="A27" s="383" t="s">
        <v>253</v>
      </c>
      <c r="B27" s="384"/>
      <c r="C27" s="384"/>
      <c r="D27" s="384"/>
      <c r="E27" s="384"/>
      <c r="F27" s="384"/>
      <c r="G27" s="385"/>
      <c r="I27" s="273"/>
      <c r="J27" s="273"/>
    </row>
    <row r="28" spans="1:14" ht="16.2" thickBot="1" x14ac:dyDescent="0.3">
      <c r="A28" s="355" t="s">
        <v>254</v>
      </c>
      <c r="B28" s="356"/>
      <c r="C28" s="356"/>
      <c r="D28" s="356"/>
      <c r="E28" s="356"/>
      <c r="F28" s="356"/>
      <c r="G28" s="357"/>
      <c r="I28" s="273"/>
      <c r="J28" s="273"/>
      <c r="N28" s="278"/>
    </row>
    <row r="29" spans="1:14" x14ac:dyDescent="0.25">
      <c r="A29" s="358"/>
      <c r="B29" s="359"/>
      <c r="C29" s="359"/>
      <c r="D29" s="359"/>
      <c r="E29" s="359"/>
      <c r="F29" s="359"/>
      <c r="G29" s="360"/>
    </row>
    <row r="30" spans="1:14" ht="18.600000000000001" x14ac:dyDescent="0.3">
      <c r="A30" s="361"/>
      <c r="B30" s="362"/>
      <c r="C30" s="362"/>
      <c r="D30" s="362"/>
      <c r="E30" s="362"/>
      <c r="F30" s="362"/>
      <c r="G30" s="363"/>
      <c r="H30" s="279"/>
    </row>
    <row r="31" spans="1:14" ht="18.600000000000001" x14ac:dyDescent="0.3">
      <c r="A31" s="361"/>
      <c r="B31" s="362"/>
      <c r="C31" s="362"/>
      <c r="D31" s="362"/>
      <c r="E31" s="362"/>
      <c r="F31" s="362"/>
      <c r="G31" s="363"/>
      <c r="H31" s="279"/>
    </row>
    <row r="32" spans="1:14" ht="13.8" thickBot="1" x14ac:dyDescent="0.3">
      <c r="A32" s="364"/>
      <c r="B32" s="365"/>
      <c r="C32" s="365"/>
      <c r="D32" s="365"/>
      <c r="E32" s="365"/>
      <c r="F32" s="365"/>
      <c r="G32" s="366"/>
    </row>
  </sheetData>
  <mergeCells count="29">
    <mergeCell ref="B8:E8"/>
    <mergeCell ref="F8:F9"/>
    <mergeCell ref="G8:G9"/>
    <mergeCell ref="B9:E9"/>
    <mergeCell ref="A1:G5"/>
    <mergeCell ref="B6:E6"/>
    <mergeCell ref="F6:F7"/>
    <mergeCell ref="G6:G7"/>
    <mergeCell ref="B7:E7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A28:G28"/>
    <mergeCell ref="A29:G32"/>
    <mergeCell ref="B22:F22"/>
    <mergeCell ref="A23:G23"/>
    <mergeCell ref="A24:G24"/>
    <mergeCell ref="A25:F25"/>
    <mergeCell ref="A26:F26"/>
    <mergeCell ref="A27:G27"/>
  </mergeCells>
  <pageMargins left="0.78740157480314965" right="0.39370078740157483" top="0.78740157480314965" bottom="0.98425196850393704" header="0.78740157480314965" footer="0.31496062992125984"/>
  <pageSetup paperSize="9" scale="70" orientation="portrait" r:id="rId1"/>
  <headerFooter>
    <oddHeader>&amp;L&amp;G&amp;R&amp;G</oddHeader>
    <oddFooter>&amp;RPágina &amp;P de &amp;N</oddFooter>
  </headerFooter>
  <colBreaks count="1" manualBreakCount="1">
    <brk id="7" max="31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6"/>
  <sheetViews>
    <sheetView workbookViewId="0">
      <pane ySplit="3" topLeftCell="A4" activePane="bottomLeft" state="frozen"/>
      <selection pane="bottomLeft" activeCell="H33" sqref="H33"/>
    </sheetView>
  </sheetViews>
  <sheetFormatPr defaultRowHeight="14.4" x14ac:dyDescent="0.3"/>
  <cols>
    <col min="1" max="2" width="4.44140625" customWidth="1"/>
    <col min="3" max="3" width="22.109375" customWidth="1"/>
    <col min="5" max="5" width="8.44140625" customWidth="1"/>
    <col min="6" max="6" width="7.88671875" customWidth="1"/>
    <col min="9" max="9" width="10" customWidth="1"/>
    <col min="10" max="10" width="25.33203125" bestFit="1" customWidth="1"/>
  </cols>
  <sheetData>
    <row r="1" spans="3:6" ht="4.5" customHeight="1" thickBot="1" x14ac:dyDescent="0.35"/>
    <row r="2" spans="3:6" s="18" customFormat="1" ht="10.5" customHeight="1" thickBot="1" x14ac:dyDescent="0.35">
      <c r="C2" s="422" t="s">
        <v>122</v>
      </c>
      <c r="D2" s="423"/>
      <c r="E2" s="22"/>
      <c r="F2" s="22"/>
    </row>
    <row r="3" spans="3:6" s="18" customFormat="1" ht="26.4" customHeight="1" thickBot="1" x14ac:dyDescent="0.35">
      <c r="C3" s="25" t="s">
        <v>2</v>
      </c>
      <c r="D3" s="24" t="s">
        <v>95</v>
      </c>
      <c r="E3" s="21"/>
      <c r="F3" s="21"/>
    </row>
    <row r="4" spans="3:6" s="18" customFormat="1" ht="21" customHeight="1" thickBot="1" x14ac:dyDescent="0.35">
      <c r="C4" s="36" t="s">
        <v>123</v>
      </c>
      <c r="D4" s="26">
        <v>134.38</v>
      </c>
      <c r="E4" s="21"/>
      <c r="F4" s="21"/>
    </row>
    <row r="5" spans="3:6" s="18" customFormat="1" x14ac:dyDescent="0.3">
      <c r="C5" s="23" t="s">
        <v>124</v>
      </c>
      <c r="D5" s="20">
        <v>134.38</v>
      </c>
      <c r="E5" s="21"/>
      <c r="F5" s="21"/>
    </row>
    <row r="6" spans="3:6" s="18" customFormat="1" x14ac:dyDescent="0.3">
      <c r="C6" s="19" t="s">
        <v>125</v>
      </c>
      <c r="D6" s="19">
        <v>23.3</v>
      </c>
      <c r="E6" s="21"/>
      <c r="F6" s="21"/>
    </row>
    <row r="7" spans="3:6" s="18" customFormat="1" x14ac:dyDescent="0.3">
      <c r="C7" s="19" t="s">
        <v>155</v>
      </c>
      <c r="D7" s="19">
        <v>25.18</v>
      </c>
      <c r="E7" s="21"/>
      <c r="F7" s="21"/>
    </row>
    <row r="8" spans="3:6" s="18" customFormat="1" x14ac:dyDescent="0.3">
      <c r="C8" s="19" t="s">
        <v>153</v>
      </c>
      <c r="D8" s="19">
        <v>63.85</v>
      </c>
      <c r="E8" s="21"/>
      <c r="F8" s="21"/>
    </row>
    <row r="9" spans="3:6" s="18" customFormat="1" x14ac:dyDescent="0.3">
      <c r="C9" s="19" t="s">
        <v>154</v>
      </c>
      <c r="D9" s="19">
        <f>80.94/0.2</f>
        <v>404.7</v>
      </c>
    </row>
    <row r="10" spans="3:6" s="18" customFormat="1" x14ac:dyDescent="0.3">
      <c r="C10" s="19" t="s">
        <v>92</v>
      </c>
      <c r="D10" s="19">
        <f>2.5*2.5</f>
        <v>6.25</v>
      </c>
    </row>
    <row r="11" spans="3:6" s="18" customFormat="1" x14ac:dyDescent="0.3"/>
    <row r="12" spans="3:6" s="18" customFormat="1" x14ac:dyDescent="0.3"/>
    <row r="13" spans="3:6" s="18" customFormat="1" x14ac:dyDescent="0.3"/>
    <row r="14" spans="3:6" s="18" customFormat="1" x14ac:dyDescent="0.3"/>
    <row r="15" spans="3:6" s="18" customFormat="1" x14ac:dyDescent="0.3"/>
    <row r="16" spans="3:6" s="18" customFormat="1" x14ac:dyDescent="0.3"/>
    <row r="17" spans="3:10" s="18" customFormat="1" x14ac:dyDescent="0.3"/>
    <row r="18" spans="3:10" s="18" customFormat="1" x14ac:dyDescent="0.3"/>
    <row r="19" spans="3:10" s="18" customFormat="1" x14ac:dyDescent="0.3"/>
    <row r="20" spans="3:10" s="18" customFormat="1" x14ac:dyDescent="0.3"/>
    <row r="21" spans="3:10" s="18" customFormat="1" x14ac:dyDescent="0.3"/>
    <row r="22" spans="3:10" s="18" customFormat="1" x14ac:dyDescent="0.3"/>
    <row r="23" spans="3:10" s="18" customFormat="1" x14ac:dyDescent="0.3"/>
    <row r="24" spans="3:10" ht="15" thickBot="1" x14ac:dyDescent="0.35">
      <c r="C24" s="18"/>
      <c r="D24" s="18"/>
    </row>
    <row r="25" spans="3:10" ht="15" thickBot="1" x14ac:dyDescent="0.35">
      <c r="C25" s="18"/>
      <c r="D25" s="18"/>
      <c r="J25" s="421"/>
    </row>
    <row r="26" spans="3:10" ht="15" thickBot="1" x14ac:dyDescent="0.35">
      <c r="J26" s="421"/>
    </row>
  </sheetData>
  <mergeCells count="2">
    <mergeCell ref="C2:D2"/>
    <mergeCell ref="J25:J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P. Referência</vt:lpstr>
      <vt:lpstr>Composições</vt:lpstr>
      <vt:lpstr>Cronograma</vt:lpstr>
      <vt:lpstr>BDI</vt:lpstr>
      <vt:lpstr>Quantitativos</vt:lpstr>
      <vt:lpstr>BDI!Area_de_impressao</vt:lpstr>
      <vt:lpstr>'P. Referência'!Area_de_impressao</vt:lpstr>
      <vt:lpstr>'P. Referência'!Titulos_de_impressao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Adriano de Oliveira</dc:creator>
  <cp:lastModifiedBy>SENARMT | Victor Raphael Duarte de Oliveira</cp:lastModifiedBy>
  <cp:lastPrinted>2021-09-27T11:54:45Z</cp:lastPrinted>
  <dcterms:created xsi:type="dcterms:W3CDTF">2017-08-18T12:05:16Z</dcterms:created>
  <dcterms:modified xsi:type="dcterms:W3CDTF">2022-04-06T15:34:44Z</dcterms:modified>
</cp:coreProperties>
</file>