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quivos\3.20.50 - EQUIPE DE INFRAESTRUTURA\005 NÚCLEO AVANÇADO DE CAPACITAÇÃO\POCONÉ\007 - REFORMA\"/>
    </mc:Choice>
  </mc:AlternateContent>
  <bookViews>
    <workbookView xWindow="0" yWindow="0" windowWidth="28800" windowHeight="12435" tabRatio="807"/>
  </bookViews>
  <sheets>
    <sheet name="P. Referência" sheetId="17" r:id="rId1"/>
    <sheet name="Composições" sheetId="18" r:id="rId2"/>
    <sheet name="Cronograma" sheetId="21" r:id="rId3"/>
    <sheet name="BDI" sheetId="20" r:id="rId4"/>
    <sheet name="Quantitativos" sheetId="19" r:id="rId5"/>
  </sheets>
  <externalReferences>
    <externalReference r:id="rId6"/>
    <externalReference r:id="rId7"/>
    <externalReference r:id="rId8"/>
    <externalReference r:id="rId9"/>
  </externalReferences>
  <definedNames>
    <definedName name="_xlnm.Print_Area" localSheetId="3">BDI!$A$1:$G$32</definedName>
    <definedName name="_xlnm.Print_Area" localSheetId="0">'P. Referência'!$B$2:$I$83</definedName>
    <definedName name="_xlnm.Print_Titles" localSheetId="0">'P. Referência'!$2:$7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1" l="1"/>
  <c r="H21" i="21"/>
  <c r="D21" i="21"/>
  <c r="G13" i="21"/>
  <c r="G14" i="21"/>
  <c r="G15" i="21"/>
  <c r="G16" i="21"/>
  <c r="G17" i="21"/>
  <c r="G18" i="21"/>
  <c r="H18" i="21"/>
  <c r="G19" i="21"/>
  <c r="G20" i="21"/>
  <c r="E14" i="21"/>
  <c r="H14" i="21" s="1"/>
  <c r="E16" i="21"/>
  <c r="H16" i="21" s="1"/>
  <c r="E18" i="21"/>
  <c r="E20" i="21"/>
  <c r="H20" i="21" s="1"/>
  <c r="C20" i="21"/>
  <c r="B20" i="21"/>
  <c r="A20" i="21"/>
  <c r="C19" i="21"/>
  <c r="E19" i="21" s="1"/>
  <c r="H19" i="21" s="1"/>
  <c r="B19" i="21"/>
  <c r="A19" i="21"/>
  <c r="C18" i="21"/>
  <c r="B18" i="21"/>
  <c r="A18" i="21"/>
  <c r="C17" i="21"/>
  <c r="E17" i="21" s="1"/>
  <c r="H17" i="21" s="1"/>
  <c r="B17" i="21"/>
  <c r="A17" i="21"/>
  <c r="C16" i="21"/>
  <c r="B16" i="21"/>
  <c r="A16" i="21"/>
  <c r="C15" i="21"/>
  <c r="E15" i="21" s="1"/>
  <c r="H15" i="21" s="1"/>
  <c r="B15" i="21"/>
  <c r="A15" i="21"/>
  <c r="C14" i="21"/>
  <c r="B14" i="21"/>
  <c r="A14" i="21"/>
  <c r="C13" i="21"/>
  <c r="E13" i="21" s="1"/>
  <c r="H13" i="21" s="1"/>
  <c r="B13" i="21"/>
  <c r="A13" i="21"/>
  <c r="C12" i="21"/>
  <c r="B12" i="21"/>
  <c r="A12" i="21"/>
  <c r="G12" i="21"/>
  <c r="E12" i="21"/>
  <c r="H12" i="21" s="1"/>
  <c r="G8" i="21"/>
  <c r="G26" i="20"/>
  <c r="K22" i="20"/>
  <c r="K21" i="20"/>
  <c r="K20" i="20"/>
  <c r="K19" i="20"/>
  <c r="K18" i="20" s="1"/>
  <c r="K24" i="20" s="1"/>
  <c r="G18" i="20"/>
  <c r="K17" i="20"/>
  <c r="G16" i="20"/>
  <c r="K15" i="20"/>
  <c r="K14" i="20"/>
  <c r="K13" i="20"/>
  <c r="K12" i="20"/>
  <c r="G25" i="20" s="1"/>
  <c r="G8" i="20" s="1"/>
  <c r="G11" i="20"/>
  <c r="B9" i="20"/>
  <c r="F8" i="20"/>
  <c r="B8" i="20"/>
  <c r="B7" i="20"/>
  <c r="G6" i="20"/>
  <c r="F6" i="20"/>
  <c r="B6" i="20"/>
  <c r="C21" i="21" l="1"/>
  <c r="E21" i="21"/>
  <c r="E22" i="21" l="1"/>
  <c r="F21" i="21"/>
  <c r="F22" i="21" l="1"/>
  <c r="F54" i="18" l="1"/>
  <c r="F21" i="18"/>
  <c r="F2" i="18"/>
  <c r="I67" i="17" l="1"/>
  <c r="I68" i="17"/>
  <c r="I69" i="17"/>
  <c r="I70" i="17"/>
  <c r="I71" i="17"/>
  <c r="I72" i="17"/>
  <c r="I73" i="17"/>
  <c r="I80" i="17"/>
  <c r="I78" i="17"/>
  <c r="I77" i="17"/>
  <c r="I66" i="17"/>
  <c r="I55" i="17"/>
  <c r="I56" i="17"/>
  <c r="I57" i="17"/>
  <c r="I58" i="17"/>
  <c r="I59" i="17"/>
  <c r="I60" i="17"/>
  <c r="I61" i="17"/>
  <c r="I62" i="17"/>
  <c r="I54" i="17"/>
  <c r="I43" i="17"/>
  <c r="I44" i="17"/>
  <c r="I45" i="17"/>
  <c r="I46" i="17"/>
  <c r="I47" i="17"/>
  <c r="I48" i="17"/>
  <c r="I49" i="17"/>
  <c r="I50" i="17"/>
  <c r="I42" i="17"/>
  <c r="I38" i="17"/>
  <c r="I37" i="17"/>
  <c r="I36" i="17"/>
  <c r="I32" i="17"/>
  <c r="I31" i="17"/>
  <c r="I30" i="17"/>
  <c r="I29" i="17"/>
  <c r="I28" i="17"/>
  <c r="I27" i="17"/>
  <c r="I26" i="17"/>
  <c r="I21" i="17"/>
  <c r="I20" i="17"/>
  <c r="I16" i="17"/>
  <c r="I15" i="17"/>
  <c r="G80" i="17" l="1"/>
  <c r="G79" i="17"/>
  <c r="G77" i="17"/>
  <c r="G62" i="17"/>
  <c r="G47" i="17"/>
  <c r="G42" i="17"/>
  <c r="G36" i="17"/>
  <c r="G31" i="17"/>
  <c r="G27" i="17"/>
  <c r="G25" i="17"/>
  <c r="C14" i="17"/>
  <c r="E94" i="18"/>
  <c r="E89" i="18"/>
  <c r="E82" i="18"/>
  <c r="F75" i="18"/>
  <c r="F36" i="17"/>
  <c r="F72" i="17"/>
  <c r="F73" i="17"/>
  <c r="H72" i="17"/>
  <c r="H73" i="17"/>
  <c r="I74" i="17" l="1"/>
  <c r="H71" i="17"/>
  <c r="H67" i="17"/>
  <c r="H68" i="17"/>
  <c r="H69" i="17"/>
  <c r="H70" i="17"/>
  <c r="H66" i="17"/>
  <c r="D62" i="18"/>
  <c r="F42" i="17"/>
  <c r="F84" i="18"/>
  <c r="F83" i="18"/>
  <c r="F82" i="18"/>
  <c r="E50" i="17"/>
  <c r="H48" i="17"/>
  <c r="H46" i="17"/>
  <c r="H45" i="17"/>
  <c r="H44" i="17"/>
  <c r="H43" i="17"/>
  <c r="F89" i="18"/>
  <c r="F88" i="18"/>
  <c r="F87" i="18"/>
  <c r="F86" i="18"/>
  <c r="F94" i="18"/>
  <c r="F93" i="18"/>
  <c r="F92" i="18"/>
  <c r="F91" i="18"/>
  <c r="F80" i="18"/>
  <c r="F79" i="18"/>
  <c r="F81" i="18" l="1"/>
  <c r="H47" i="17" s="1"/>
  <c r="F78" i="18"/>
  <c r="H42" i="17" s="1"/>
  <c r="F90" i="18"/>
  <c r="F85" i="18"/>
  <c r="G50" i="17" l="1"/>
  <c r="H50" i="17" s="1"/>
  <c r="G49" i="17"/>
  <c r="H49" i="17" s="1"/>
  <c r="I51" i="17" l="1"/>
  <c r="F38" i="17" l="1"/>
  <c r="F37" i="17"/>
  <c r="H37" i="17"/>
  <c r="H38" i="17"/>
  <c r="F77" i="18"/>
  <c r="F76" i="18"/>
  <c r="H26" i="17"/>
  <c r="H28" i="17"/>
  <c r="H29" i="17"/>
  <c r="H30" i="17"/>
  <c r="H32" i="17"/>
  <c r="F25" i="17"/>
  <c r="D9" i="19"/>
  <c r="D10" i="19"/>
  <c r="F74" i="18"/>
  <c r="F73" i="18"/>
  <c r="F72" i="18"/>
  <c r="F71" i="18"/>
  <c r="F70" i="18"/>
  <c r="F69" i="18"/>
  <c r="F68" i="18"/>
  <c r="F67" i="18"/>
  <c r="F66" i="18"/>
  <c r="F65" i="18" l="1"/>
  <c r="H31" i="17" s="1"/>
  <c r="H36" i="17"/>
  <c r="I39" i="17" l="1"/>
  <c r="H10" i="17" l="1"/>
  <c r="I10" i="17" s="1"/>
  <c r="H9" i="17"/>
  <c r="I9" i="17" s="1"/>
  <c r="I11" i="17" l="1"/>
  <c r="D79" i="17" l="1"/>
  <c r="F57" i="18"/>
  <c r="F58" i="18"/>
  <c r="F56" i="18"/>
  <c r="F55" i="18"/>
  <c r="H57" i="17"/>
  <c r="H58" i="17"/>
  <c r="H59" i="17"/>
  <c r="H61" i="17"/>
  <c r="H60" i="17"/>
  <c r="H56" i="17"/>
  <c r="H55" i="17"/>
  <c r="H54" i="17"/>
  <c r="H16" i="17"/>
  <c r="F32" i="17"/>
  <c r="F27" i="17"/>
  <c r="F39" i="18"/>
  <c r="F38" i="18"/>
  <c r="F37" i="18" l="1"/>
  <c r="H62" i="17" s="1"/>
  <c r="I63" i="17" l="1"/>
  <c r="H79" i="17"/>
  <c r="I79" i="17" s="1"/>
  <c r="F36" i="18"/>
  <c r="F35" i="18"/>
  <c r="F46" i="18"/>
  <c r="F47" i="18"/>
  <c r="F48" i="18"/>
  <c r="F49" i="18"/>
  <c r="F50" i="18"/>
  <c r="F51" i="18"/>
  <c r="F52" i="18"/>
  <c r="F53" i="18"/>
  <c r="F45" i="18"/>
  <c r="F44" i="18"/>
  <c r="F42" i="18"/>
  <c r="F41" i="18"/>
  <c r="D27" i="17"/>
  <c r="D25" i="17"/>
  <c r="F23" i="18"/>
  <c r="F22" i="18"/>
  <c r="F26" i="18"/>
  <c r="F27" i="18"/>
  <c r="F28" i="18"/>
  <c r="F29" i="18"/>
  <c r="F30" i="18"/>
  <c r="F31" i="18"/>
  <c r="F25" i="18"/>
  <c r="F34" i="18"/>
  <c r="F33" i="18"/>
  <c r="F24" i="18" l="1"/>
  <c r="F32" i="18"/>
  <c r="H27" i="17" s="1"/>
  <c r="F43" i="18"/>
  <c r="G78" i="17" s="1"/>
  <c r="F40" i="18"/>
  <c r="H25" i="17"/>
  <c r="I25" i="17" s="1"/>
  <c r="H77" i="17" l="1"/>
  <c r="H78" i="17"/>
  <c r="F20" i="18" l="1"/>
  <c r="F19" i="18"/>
  <c r="F18" i="18"/>
  <c r="F16" i="18"/>
  <c r="F15" i="18"/>
  <c r="F14" i="18"/>
  <c r="F12" i="18"/>
  <c r="F11" i="18"/>
  <c r="F10" i="18"/>
  <c r="F9" i="18"/>
  <c r="F8" i="18"/>
  <c r="F7" i="18"/>
  <c r="F5" i="18"/>
  <c r="F4" i="18"/>
  <c r="F3" i="18"/>
  <c r="G14" i="17" l="1"/>
  <c r="H14" i="17" s="1"/>
  <c r="I14" i="17" s="1"/>
  <c r="F17" i="18"/>
  <c r="G21" i="17" s="1"/>
  <c r="H21" i="17" s="1"/>
  <c r="F13" i="18"/>
  <c r="G20" i="17" s="1"/>
  <c r="H20" i="17" s="1"/>
  <c r="F6" i="18"/>
  <c r="G15" i="17" s="1"/>
  <c r="H15" i="17" s="1"/>
  <c r="F63" i="18" l="1"/>
  <c r="F62" i="18"/>
  <c r="F61" i="18"/>
  <c r="F60" i="18"/>
  <c r="F59" i="18" l="1"/>
  <c r="H80" i="17" s="1"/>
  <c r="I81" i="17" s="1"/>
  <c r="I17" i="17" l="1"/>
  <c r="I22" i="17" l="1"/>
  <c r="I33" i="17" l="1"/>
  <c r="I83" i="17" s="1"/>
</calcChain>
</file>

<file path=xl/comments1.xml><?xml version="1.0" encoding="utf-8"?>
<comments xmlns="http://schemas.openxmlformats.org/spreadsheetml/2006/main">
  <authors>
    <author>Caroline Castilho dos Santos</author>
  </authors>
  <commentList>
    <comment ref="F9" authorId="0" shapeId="0">
      <text>
        <r>
          <rPr>
            <sz val="9"/>
            <color indexed="81"/>
            <rFont val="Segoe UI"/>
            <family val="2"/>
          </rPr>
          <t xml:space="preserve">2h/dia, 3x/semana,
1 mês de obra
</t>
        </r>
      </text>
    </comment>
    <comment ref="F10" authorId="0" shapeId="0">
      <text>
        <r>
          <rPr>
            <b/>
            <sz val="9"/>
            <color indexed="81"/>
            <rFont val="Segoe UI"/>
            <family val="2"/>
          </rPr>
          <t>4h/dia, 5x/semana
1 mês de obra.</t>
        </r>
      </text>
    </comment>
  </commentList>
</comments>
</file>

<file path=xl/sharedStrings.xml><?xml version="1.0" encoding="utf-8"?>
<sst xmlns="http://schemas.openxmlformats.org/spreadsheetml/2006/main" count="474" uniqueCount="275">
  <si>
    <t>M²</t>
  </si>
  <si>
    <t>SUBTOTAL</t>
  </si>
  <si>
    <t>Item</t>
  </si>
  <si>
    <t>Descrição</t>
  </si>
  <si>
    <t>Und.</t>
  </si>
  <si>
    <t>Valor Total</t>
  </si>
  <si>
    <t>M</t>
  </si>
  <si>
    <t>KG</t>
  </si>
  <si>
    <t>Código SINAPI</t>
  </si>
  <si>
    <t>CHP</t>
  </si>
  <si>
    <t>Composição 01</t>
  </si>
  <si>
    <t>Composição 02</t>
  </si>
  <si>
    <t>Und</t>
  </si>
  <si>
    <t>Composição 04</t>
  </si>
  <si>
    <t>Composição 05</t>
  </si>
  <si>
    <t>Composição 06</t>
  </si>
  <si>
    <t>Referência SINAPI Desonerada:</t>
  </si>
  <si>
    <t>CALHA EM CHAPA DE AÇO GALVANIZADO NÚMERO 24, DESENVOLVIMENTO DE 50 CM, INCLUSO TRANSPORTE VERTICAL. AF_06/2016.</t>
  </si>
  <si>
    <t>RUFO EM CHAPA DE AÇO GALVANIZO NÚMERO 24, CORTE DE 25CM, INCLUSO TRANSPORTE VERTICAL. AF_06/2016.</t>
  </si>
  <si>
    <t xml:space="preserve">Descrição                               </t>
  </si>
  <si>
    <t>Unidade</t>
  </si>
  <si>
    <t>Coeficiente</t>
  </si>
  <si>
    <t>Preço Unitario</t>
  </si>
  <si>
    <t>Preço total</t>
  </si>
  <si>
    <t>H</t>
  </si>
  <si>
    <t>UND</t>
  </si>
  <si>
    <t>SELANTE ELASTICO MONOCOMPONENTE A BASE DE POLIURETANO PARA JUNTAS DIVERSAS</t>
  </si>
  <si>
    <t>310ML</t>
  </si>
  <si>
    <t>SERVENTE COM ENCARGOS COMPLEMENTARES</t>
  </si>
  <si>
    <t>TELHADISTA COM ENCARGOS COMPLEMENTARES</t>
  </si>
  <si>
    <t>GUINCHO ELÉTRICO DE COLUNA, CAPACIDADE 400 KG, COM MOTO FREIO, MOTOR TRIFÁSICO DE 1,25 CV - CHI DIURNO. AF_03/2016</t>
  </si>
  <si>
    <t>CHI</t>
  </si>
  <si>
    <t>Composição 2</t>
  </si>
  <si>
    <t>M2</t>
  </si>
  <si>
    <t>ADMINISTRAÇÃO DA OBRA</t>
  </si>
  <si>
    <t>Quant.</t>
  </si>
  <si>
    <t>ENCARREGADO GERAL COM ENCARGOS COMPLEMENTARES</t>
  </si>
  <si>
    <t>Valor Unit.</t>
  </si>
  <si>
    <t>3.2</t>
  </si>
  <si>
    <t>1.2</t>
  </si>
  <si>
    <t>2.1</t>
  </si>
  <si>
    <t>3.1</t>
  </si>
  <si>
    <t>4.1</t>
  </si>
  <si>
    <t>6.1</t>
  </si>
  <si>
    <t>6.2</t>
  </si>
  <si>
    <t>6.4</t>
  </si>
  <si>
    <t>Composição 07</t>
  </si>
  <si>
    <t>REMOÇÃO DE RUFO, CALHAS E PINGADEIRA SEM REAPROVEITAMENTO</t>
  </si>
  <si>
    <t>Composição 08</t>
  </si>
  <si>
    <t>MOBILIZAÇÃO E DESMOBILIZAÇÃO DE OBRA</t>
  </si>
  <si>
    <t>MOBILIZAÇÃO DE OBRA</t>
  </si>
  <si>
    <t>CAMINHÃO TOCO, PBT 14.300 KG, CARGA ÚTIL MÁX. 9.710 KG, DIST. ENTRE EIXOS 3,56 M, POTÊNCIA 185 CV, INCLUSIVE CARROCERIA FIXA ABERTA DE MADEIRA P/ TRANSPORTE GERAL DE CARGA SECA, DIMEN. APROX. 2,50 X 6,50 X 0,50 M - CHP DIURNO. AF_06/2014</t>
  </si>
  <si>
    <t>CAMINHÃO TOCO, PESO BRUTO TOTAL 14.300 KG, CARGA ÚTIL MÁXIMA 9590 KG, DISTÂNCIA ENTRE EIXOS 4,76 M, POTÊNCIA 185 CV (NÃO INCLUI CARROCERIA) - CHI DIURNO. AF_06/2014</t>
  </si>
  <si>
    <t>DESMOBILIZAÇÃO DE OBRA</t>
  </si>
  <si>
    <t>Composição 09</t>
  </si>
  <si>
    <t>Composição 10</t>
  </si>
  <si>
    <t>Composição 11</t>
  </si>
  <si>
    <t>2.2</t>
  </si>
  <si>
    <t>Cotação 01</t>
  </si>
  <si>
    <t>LOCAÇÃO DE CAÇAMBA TIPO BOTA-FORA</t>
  </si>
  <si>
    <t>EMISSÃO DE CUSTEIO DE ALVARA E REGISTROS</t>
  </si>
  <si>
    <t>PLACA DE OBRA (PARA CONSTRUÇÃO CIVIL) EM CHAPA GALVANIZADA, ADESIVADA FIXA EM ESTRUTURA DE MADEIRA.</t>
  </si>
  <si>
    <t>EMISSÃO E CUSTEIO DE ALVARÁ E REGISTROS</t>
  </si>
  <si>
    <t>ALVARÁ DE OBRA</t>
  </si>
  <si>
    <t>Cotação - CREA MT</t>
  </si>
  <si>
    <t>AUXILIAR DE ESCRITORIO COM ENCARGOS COMPLEMENTARES</t>
  </si>
  <si>
    <t>SARRAFO DE MADEIRA NAO APARELHADA *2,5 X 7* CM, MACARANDUBA, ANGELIM OU EQUIVALENTE DA REGIAO</t>
  </si>
  <si>
    <t>PONTALETE DE MADEIRA NAO APARELHADA *7,5 X 7,5* CM (3 X 3 ") PINUS, MISTA OU EQUIVALENTE DA REGIAO</t>
  </si>
  <si>
    <t>PLACA DE OBRA (PARA CONSTRUCAO CIVIL) EM CHAPA GALVANIZADA *N. 22*, ADESIVADA, DE *2,0 X 1,125* M</t>
  </si>
  <si>
    <t>PREGO DE ACO POLIDO COM CABECA 18 X 30 (2 3/4 X 10)</t>
  </si>
  <si>
    <t>CARPINTEIRO DE FORMAS COM ENCARGOS COMPLEMENTARES</t>
  </si>
  <si>
    <t>Composição 12</t>
  </si>
  <si>
    <t>SERVIÇOS PRELIMINARES</t>
  </si>
  <si>
    <t>Composição 4</t>
  </si>
  <si>
    <t>Composição 03</t>
  </si>
  <si>
    <t>4.2</t>
  </si>
  <si>
    <t>PEDREIRO COM ENCARGOS COMPLEMENTARES</t>
  </si>
  <si>
    <t>FORRO EM DRYWALL, PARA AMBIENTES COMERCIAIS, INCLUSIVE ESTRUTURA DE FIXAÇÃO. AF_05/2017_P</t>
  </si>
  <si>
    <t>Composição 5</t>
  </si>
  <si>
    <t>Composição 3</t>
  </si>
  <si>
    <t>LIMPEZA FINAL</t>
  </si>
  <si>
    <t>LIMPEZA DE PISO CERÂMICO OU PORCELANATO COM PANO ÚMIDO. AF_04/2019</t>
  </si>
  <si>
    <t>LIMPEZA DE REVESTIMENTO CERÂMICO EM PAREDE COM PANO ÚMIDO AF_04/2019</t>
  </si>
  <si>
    <t>LIMPEZA DE SUPERFÍCIE COM JATO DE ALTA PRESSÃO. AF_04/2019</t>
  </si>
  <si>
    <t>LIMPEZA DE PORTA DE MADEIRA. AF_04/2019</t>
  </si>
  <si>
    <t>SERVIÇOS COMPLEMENTARES</t>
  </si>
  <si>
    <t>88316</t>
  </si>
  <si>
    <t>2.3</t>
  </si>
  <si>
    <t>4.4</t>
  </si>
  <si>
    <t>4.5</t>
  </si>
  <si>
    <t>4.6</t>
  </si>
  <si>
    <t>6.3</t>
  </si>
  <si>
    <t>TOTAL</t>
  </si>
  <si>
    <t>FORRO</t>
  </si>
  <si>
    <t>Cotação - Tabela 2021 Prefeitura de Cuiabá item 136</t>
  </si>
  <si>
    <t>ART/CREA DE EXECUÇÃO - AREA ATÉ 15.000 R$</t>
  </si>
  <si>
    <t>Área</t>
  </si>
  <si>
    <t>INSTALAÇÕES HIDRÁULICAS</t>
  </si>
  <si>
    <t>CURVA 90 GRAUS, PVC, SOLDÁVEL, DN 50MM, INSTALADO EM PRUMADA DE ÁGUA - FORNECIMENTO E INSTALAÇÃO. AF_12/2014</t>
  </si>
  <si>
    <t>REMOÇÃO DE BASE DE MADEIRA DA CAIXA D'AGUA</t>
  </si>
  <si>
    <t>1.1</t>
  </si>
  <si>
    <t>APARELHO PARA CORTE E SOLDA OXI-ACETILENO SOBRE RODAS, INCLUSIVE CILINDROS E MAÇARICOS - CHP DIURNO. AF_12/2015</t>
  </si>
  <si>
    <t>APARELHO PARA CORTE E SOLDA OXI-ACETILENO SOBRE RODAS, INCLUSIVE CILINDROS E MAÇARICOS - CHI DIURNO. AF_12/2015</t>
  </si>
  <si>
    <t>CONJUNTO ARRUELAS DE VEDACAO 5/16" PARA TELHA FIBROCIMENTO (UMA ARRUELA METALICA E UMA ARRUELA PVC - CONICAS)</t>
  </si>
  <si>
    <t>CJ</t>
  </si>
  <si>
    <t>FIXADOR DE ABA SIMPLES PARA TELHA DE FIBROCIMENTO, TIPO CANALETA 90 OU KALHETAO</t>
  </si>
  <si>
    <t>UN</t>
  </si>
  <si>
    <t>GANCHO CHATO EM FERRO GALVANIZADO,  L = 110 MM, RECOBRIMENTO = 100MM, SECAO 1/8 X 1/2" (3 MM X 12 MM), PARA FIXAR TELHA DE FIBROCIMENTO ONDULADA</t>
  </si>
  <si>
    <t>GUINCHO ELÉTRICO DE COLUNA, CAPACIDADE 400 KG, COM MOTO FREIO, MOTOR TRIFÁSICO DE 1,25 CV - CHP DIURNO. AF_03/2016</t>
  </si>
  <si>
    <t xml:space="preserve">RETIRADA E RECOLOCAÇÃO DE TELHAS METÁLICAS </t>
  </si>
  <si>
    <t xml:space="preserve">RETIRADA E RECOLOCAÇÃO DE TRAMA METÁLICA </t>
  </si>
  <si>
    <t>Composição 7</t>
  </si>
  <si>
    <t>REMOÇÃO MANUAL DA BASE DE MADEIRA DA CAIXA D'AGUA</t>
  </si>
  <si>
    <t>88262</t>
  </si>
  <si>
    <t>SARRAFO NAO APARELHADO *2,5 X 7* CM, EM MACARANDUBA, ANGELIM OU EQUIVALENTE DA REGIAO -  BRUTA</t>
  </si>
  <si>
    <t>CAIBRO NAO APARELHADO  *7,5 X 7,5* CM, EM MACARANDUBA, ANGELIM OU EQUIVALENTE DA REGIAO -  BRUTA</t>
  </si>
  <si>
    <t>PREGO DE ACO POLIDO COM CABECA 17 X 21 (2 X 11)</t>
  </si>
  <si>
    <t>AJUDANTE DE CARPINTEIRO COM ENCARGOS COMPLEMENTARES</t>
  </si>
  <si>
    <t>SERRA CIRCULAR DE BANCADA COM MOTOR ELÉTRICO POTÊNCIA DE 5HP, COM COIFA PARA DISCO 10" - CHP DIURNO. AF_08/2015</t>
  </si>
  <si>
    <t>SERRA CIRCULAR DE BANCADA COM MOTOR ELÉTRICO POTÊNCIA DE 5HP, COM COIFA PARA DISCO 10" - CHI DIURNO. AF_08/2015</t>
  </si>
  <si>
    <t>MANUTENÇÃO NO MICTÓRIO DO BANHEIRO MASCULINO</t>
  </si>
  <si>
    <t>AUXILIAR DE ENCANADOR OU BOMBEIRO HIDRÁULICO COM ENCARGOS COMPLEMENTARES</t>
  </si>
  <si>
    <t>ENCANADOR OU BOMBEIRO HIDRÁULICO COM ENCARGOS COMPLEMENTARES</t>
  </si>
  <si>
    <t>REFORMA NAC</t>
  </si>
  <si>
    <t>COBERTURA</t>
  </si>
  <si>
    <t>TELHAS</t>
  </si>
  <si>
    <t>TRAMA</t>
  </si>
  <si>
    <t>Valor Unitário C/ BDI 28,35%</t>
  </si>
  <si>
    <t>REGISTRO DE GAVETA BRUTO, LATÃO, ROSCÁVEL, 1 1/2" - FORNECIMENTO E INSTALAÇÃO. AF_08/2021</t>
  </si>
  <si>
    <t>CAIXA D´ÁGUA EM POLIETILENO, 2000 LITROS - FORNECIMENTO E INSTALAÇÃO. AF_06/2021</t>
  </si>
  <si>
    <t>ADAPTADOR COM FLANGE E ANEL DE VEDAÇÃO, PVC, SOLDÁVEL, DN 50 MM X 1 1/2 , INSTALADO EM RESERVAÇÃO DE ÁGUA DE EDIFICAÇÃO QUE POSSUA RESERVATÓRIO DE FIBRA/FIBROCIMENTO   FORNECIMENTO E INSTALAÇÃO. AF_06/2016</t>
  </si>
  <si>
    <t>ADAPTADOR CURTO COM BOLSA E ROSCA PARA REGISTRO, PVC, SOLDÁVEL, DN 50 MM X 1 1/2 , INSTALADO EM RESERVAÇÃO DE ÁGUA DE EDIFICAÇÃO QUE POSSUA RESERVATÓRIO DE FIBRA/FIBROCIMENTO   FORNECIMENTO E INSTALAÇÃO. AF_06/2016</t>
  </si>
  <si>
    <t>BUCHA DE REDUCAO DE PVC, SOLDAVEL, LONGA, COM 50 X 25 MM, PARA AGUA FRIA PREDIAL</t>
  </si>
  <si>
    <t>5.1</t>
  </si>
  <si>
    <t>5.2</t>
  </si>
  <si>
    <t>5.3</t>
  </si>
  <si>
    <t>Composição 8</t>
  </si>
  <si>
    <t>Composição 9</t>
  </si>
  <si>
    <t>BUCHA DE NYLON SEM ABA S10, COM PARAFUSO DE 6,10 X 65 MM EM ACO ZINCADO COM ROSCA SOBERBA, CABECA CHATA E FENDA PHILLIPS</t>
  </si>
  <si>
    <t>MANUTENÇÃO PORTINHOLA DE ALUMÍNIO DE ABRIR</t>
  </si>
  <si>
    <t>REMOÇÃO DE TELHAS, DE FIBROCIMENTO, METÁLICA E CERÂMICA, DE FORMA MANUAL, SEM REAPROVEITAMENTO. AF_12/2017</t>
  </si>
  <si>
    <t>TELHAMENTO COM TELHA ONDULADA DE FIBROCIMENTO E = 6 MM, COM RECOBRIMENTO LATERAL DE 1 1/4 DE ONDA PARA TELHADO COM INCLINAÇÃO MÁXIMA DE 10°, COM ATÉ 2 ÁGUAS, INCLUSO IÇAMENTO. AF_07/2019</t>
  </si>
  <si>
    <t>TABUA APARELHADA *2,5 X 30* CM, EM MACARANDUBA, ANGELIM OU EQUIVALENTE DA REGIAO</t>
  </si>
  <si>
    <t>4.7</t>
  </si>
  <si>
    <t>4.8</t>
  </si>
  <si>
    <t>Planilha de Referência Orçamentária
Núcleo Avançado de Capacitação - POCONÉ</t>
  </si>
  <si>
    <t>4.3</t>
  </si>
  <si>
    <t>PINGADEIRA EM CHAPA DE AÇO GALVANIZADO NÚMERO 24, INCLUSO TRANSPORTE VERTICAL.</t>
  </si>
  <si>
    <t>Pingadeira em chapa de aço galvanizo número 24,incluso transporte vertical.</t>
  </si>
  <si>
    <t>SELANTE ELASTICO MONOCOMPONENTE A BASE DE POLIURETANO (PU) PARA JUNTAS DIVERSAS</t>
  </si>
  <si>
    <t>PREGO DE ACO POLIDO COM CABECA 18 X 27 (2 1/2 X 10)</t>
  </si>
  <si>
    <t>REBITE DE ALUMINIO VAZADO DE REPUXO, 3,2 X 8 MM (1KG = 1025 UNIDADES)</t>
  </si>
  <si>
    <t>SOLDA EM BARRA DE ESTANHO-CHUMBO 50/50</t>
  </si>
  <si>
    <t>RUFO INTERNO/EXTERNO DE CHAPA DE ACO GALVANIZADA NUM 24, CORTE 25 CM</t>
  </si>
  <si>
    <t xml:space="preserve">RUFO </t>
  </si>
  <si>
    <t>PINGADEIRA</t>
  </si>
  <si>
    <t>CALHA</t>
  </si>
  <si>
    <t>REVETIMENTO DE PAREDE</t>
  </si>
  <si>
    <t>CHAPISCO APLICADO EM ALVENARIA (SEM PRESENÇA DE VÃOS) E ESTRUTURAS DE CONCRETO DE FACHADA, COM COLHER DE PEDREIRO. ARGAMASSA TRAÇO 1:3 COM PREPARO MANUAL. AF_06/2014.</t>
  </si>
  <si>
    <t>SERVIÇO DE EMBOÇO/MASSA ÚNICA, APLICADO MANUALMENTE, TRAÇO 1:2:8, EM BETONEIRA DE 400L, PAREDES INTERNAS, COM EXECUÇÃO DE TALISCAS, EDIFICAÇÃO HABITACIONAL UNIFAMILIAR (CASAS) E EDIFICAÇÃO PÚBLICA PADRÃO.</t>
  </si>
  <si>
    <t>REMOÇÃO MANUAL DE EMBOÇO/MASSA ÚNICA.</t>
  </si>
  <si>
    <t>Composição 13</t>
  </si>
  <si>
    <t>Composição 14</t>
  </si>
  <si>
    <t>REMOÇÃO DE EMBOÇO/MASSA ÚNICA</t>
  </si>
  <si>
    <t xml:space="preserve">ENGENHEIRO CIVIL DE OBRA JUNIOR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</si>
  <si>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11/2021</t>
  </si>
  <si>
    <t>REMOÇÃO DE PINTURA INTERNA E EXTERNA</t>
  </si>
  <si>
    <t>APLICAÇÃO DE FUNDO SELADOR ACRÍLICO EM PAREDES, UMA DEMÃO. AF_06/2014.</t>
  </si>
  <si>
    <t>APLICAÇÃO E LIXAMENTO DE MASSA LÁTEX EM TETO, DUAS DEMÃOS. AF_06/2014.</t>
  </si>
  <si>
    <t>APLICAÇÃO E LIXAMENTO DE MASSA LÁTEX EM PAREDES, DUAS DEMÃOS. AF_06/2014.</t>
  </si>
  <si>
    <t>6.5</t>
  </si>
  <si>
    <t>TEXTURA ACRÍLICA, APLICAÇÃO MANUAL EM PAREDE, UMA DEMÃO. AF_09/2016</t>
  </si>
  <si>
    <t>6.6</t>
  </si>
  <si>
    <t>APLICAÇÃO MANUAL DE TINTA LÁTEX ACRÍLICA, 1° LINHA, ANTIMOFO E LAVAVEL, COM DUAS DEMÃOS NA COR OVELHA.</t>
  </si>
  <si>
    <t>6.7</t>
  </si>
  <si>
    <t>6.8</t>
  </si>
  <si>
    <t>REMOÇÃO DE PINTURA</t>
  </si>
  <si>
    <t>PINTOR COM ENCARGOS COMPLEMENTARES</t>
  </si>
  <si>
    <t>Composição 15</t>
  </si>
  <si>
    <t>Orçamento</t>
  </si>
  <si>
    <t>TINTA ACRILICA PREMIUM,PRIMEIRA LINHA NA COR OVELHA 18L</t>
  </si>
  <si>
    <t>L</t>
  </si>
  <si>
    <t>Composição 16</t>
  </si>
  <si>
    <t>Composição 17</t>
  </si>
  <si>
    <t>PINTURA</t>
  </si>
  <si>
    <t>APLICAÇÃO MANUAL DE PINTURA COM TINTA ACRÍLICA, 1° LINHA, ANTIMOFO EM PAREDES EXTERNAS DE CASAS, NA COR VERDE FOLHA.</t>
  </si>
  <si>
    <t>MASSA PARA TEXTURA RUSTICA DE BASE ACRILICA, COR BRANCA, USO INTERNO E EXTERNO</t>
  </si>
  <si>
    <t>TINTA ACRILICA PREMIUM,PRIMEIRA LINHA NA COR VERDE FOLHA 18L</t>
  </si>
  <si>
    <t>APLICAÇÃO MANUAL DE PINTURA COM TINTA ACRÍLICA, 1° LINHA, ANTIMOFO EM PAREDES EXTERNAS DE CASAS, NA CAIXA DE PANDORA.</t>
  </si>
  <si>
    <t xml:space="preserve">KG    </t>
  </si>
  <si>
    <t>APLICAÇÃO MANUAL DE PINTURA COM TINTA LÁTEX PVA EM TETO, DUAS DEMÃOS. AF_06/2014.</t>
  </si>
  <si>
    <t>APLICAÇÃO MANUAL DE TINTA LÁTEX ACRÍLICA, 1° LINHA, ANTIMOFO E LAVAVEL, COM DUAS DEMÃOS NA COR OVELHA</t>
  </si>
  <si>
    <t>Composição 18</t>
  </si>
  <si>
    <t>6.9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</si>
  <si>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</si>
  <si>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</si>
  <si>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</si>
  <si>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</si>
  <si>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</si>
  <si>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</si>
  <si>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</si>
  <si>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</si>
  <si>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</si>
  <si>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INSTALAÇÕES ELÉTRICAS</t>
  </si>
  <si>
    <t>8.1</t>
  </si>
  <si>
    <t>8.2</t>
  </si>
  <si>
    <t>8.3</t>
  </si>
  <si>
    <t>8.4</t>
  </si>
  <si>
    <t>8.5</t>
  </si>
  <si>
    <t>CABO DE COBRE FLEXÍVEL ISOLADO, 2,5 MM², ANTI-CHAMA 450/750 V, PARA CIRCUITOS TERMINAIS - FORNECIMENTO E INSTALAÇÃO. AF_12/2015</t>
  </si>
  <si>
    <t>TOMADA MÉDIA DE EMBUTIR (1 MÓDULO), 2P+T 10 A, INCLUINDO SUPORTE E PLACA - FORNECIMENTO E INSTALAÇÃO. AF_12/2015</t>
  </si>
  <si>
    <t>TOMADA BAIXA DE EMBUTIR (1 MÓDULO), 2P+T 10 A, INCLUINDO SUPORTE E PLACA - FORNECIMENTO E INSTALAÇÃO. AF_12/2015</t>
  </si>
  <si>
    <t xml:space="preserve">LUMINARIA ARANDELA TIPO MEIA-LUA COM VIDRO FOSCO *30 X 15* CM, PARA 1 LAMPADA, BASE E27, POTENCIA MAXIMA 40/60 W (NAO INCLUI LAMPADA)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</si>
  <si>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LED REFLETOR RETANGULAR BIVOLT, LUZ BRANCA, 50 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</si>
  <si>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LED PLAFON REDONDO DE SOBREPOR BIVOLT 12/13 W,  D = *17*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</si>
  <si>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8.6</t>
  </si>
  <si>
    <t>AUXILIAR DE ELETRICISTA COM ENCARGOS COMPLEMENTARES</t>
  </si>
  <si>
    <t>ELETRICISTA COM ENCARGOS COMPLEMENTARES</t>
  </si>
  <si>
    <t>8.7</t>
  </si>
  <si>
    <t>8.8</t>
  </si>
  <si>
    <t xml:space="preserve">TUBO, PVC, SOLDÁVEL, DN 50MM, INSTALADO EM PRUMADA DE ÁGUA - FORNECIMENTO E INSTALAÇÃO. AF_12/2014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</si>
  <si>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TE, PVC, SOLDÁVEL, DN 50MM, INSTALADO EM PRUMADA DE ÁGUA - FORNECIMENTO E INSTALAÇÃO. AF_12/2014</t>
  </si>
  <si>
    <t>COBERTURA E FORRO</t>
  </si>
  <si>
    <t>EXECUÇÃO DE TABLADO DE MADEIRA DA CAIXA D'AGUA</t>
  </si>
  <si>
    <t>BDI</t>
  </si>
  <si>
    <t>OBRA:</t>
  </si>
  <si>
    <t>ENDEREÇO:</t>
  </si>
  <si>
    <t>MUNICÍPIO:</t>
  </si>
  <si>
    <t>ASSUNTO:</t>
  </si>
  <si>
    <t>ITEM</t>
  </si>
  <si>
    <t>DISCRIMINAÇÃO</t>
  </si>
  <si>
    <t>PERCENTUAL
(%)</t>
  </si>
  <si>
    <t>1.0</t>
  </si>
  <si>
    <t>MAX</t>
  </si>
  <si>
    <t>MIN</t>
  </si>
  <si>
    <t>Administração Central</t>
  </si>
  <si>
    <t>Despesas Financeiras</t>
  </si>
  <si>
    <t>1.3</t>
  </si>
  <si>
    <t>Riscos</t>
  </si>
  <si>
    <t>1.4</t>
  </si>
  <si>
    <t>Seguros e Garantias</t>
  </si>
  <si>
    <t>2.0</t>
  </si>
  <si>
    <t>LUCRO</t>
  </si>
  <si>
    <t>Lucro Operacional</t>
  </si>
  <si>
    <t>3.0</t>
  </si>
  <si>
    <t>TRIBUTOS</t>
  </si>
  <si>
    <t>**ISS</t>
  </si>
  <si>
    <t>Cofins</t>
  </si>
  <si>
    <t>3.3</t>
  </si>
  <si>
    <t>Pis</t>
  </si>
  <si>
    <t>3.4</t>
  </si>
  <si>
    <t>Contribuição Previdênciária - Lei N° 13161/2015</t>
  </si>
  <si>
    <t>**ISS - Repassado pelo município</t>
  </si>
  <si>
    <t xml:space="preserve">Fórmula e parâmetros estabelecidos pelo Acórdão 2622/2013-TCU-Plenário (contemplando) </t>
  </si>
  <si>
    <t xml:space="preserve">TAXA DE BDI A SER APLICADA 
SOBRE O CUSTO DIRETO </t>
  </si>
  <si>
    <t>VALOR DA OBRA</t>
  </si>
  <si>
    <t>Não incidem IRPJ e CSLL na composição de Tributos.</t>
  </si>
  <si>
    <t>CÁLCULO DO BDI</t>
  </si>
  <si>
    <t>CRONOGRAMA FÍSICO FINANCEIRO</t>
  </si>
  <si>
    <t>ETAPA</t>
  </si>
  <si>
    <t>VL. TOTAL</t>
  </si>
  <si>
    <t>%</t>
  </si>
  <si>
    <t>30 DIAS</t>
  </si>
  <si>
    <t>VALOR TOTAL</t>
  </si>
  <si>
    <t>VALOR ACUMULADO</t>
  </si>
  <si>
    <t>POCONÉ - MT</t>
  </si>
  <si>
    <t>REFORMA</t>
  </si>
  <si>
    <t>NUCLE AVANÇADO DE CAPACITAÇÃO POCONE</t>
  </si>
  <si>
    <t>REF.:</t>
  </si>
  <si>
    <t>SINAP-MT DES. NOV/2021</t>
  </si>
  <si>
    <t>9.1</t>
  </si>
  <si>
    <t>9.2</t>
  </si>
  <si>
    <t>9.3</t>
  </si>
  <si>
    <t>9.4</t>
  </si>
  <si>
    <t>RUA Justino Gonçalves da Guia, Parque de Esposição, s/n, Poconé-MT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</si>
</sst>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[$R$-416]\ * #,##0.000000000_-;\-[$R$-416]\ * #,##0.000000000_-;_-[$R$-416]\ * &quot;-&quot;??_-;_-@_-"/>
    <numFmt numFmtId="166" formatCode="_(&quot;R$ &quot;* #,##0.00_);_(&quot;R$ &quot;* \(#,##0.00\);_(&quot;R$ &quot;* &quot;-&quot;??_);_(@_)"/>
    <numFmt numFmtId="169" formatCode="[$-416]mmmm\-yy;@"/>
    <numFmt numFmtId="170" formatCode="_-&quot;R$&quot;* #,##0.00_-;\-&quot;R$&quot;* #,##0.00_-;_-&quot;R$&quot;* &quot;-&quot;??_-;_-@_-"/>
    <numFmt numFmtId="171" formatCode="0.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</font>
    <font>
      <b/>
      <sz val="9"/>
      <color indexed="81"/>
      <name val="Segoe UI"/>
      <family val="2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24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12"/>
      <color rgb="FFFF0000"/>
      <name val="Calibri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92D050"/>
      <name val="Arial"/>
      <family val="2"/>
    </font>
    <font>
      <sz val="20"/>
      <name val="Arial"/>
      <family val="2"/>
    </font>
    <font>
      <b/>
      <sz val="12"/>
      <color indexed="8"/>
      <name val="Arial"/>
      <family val="2"/>
    </font>
    <font>
      <b/>
      <sz val="20"/>
      <name val="Arial"/>
      <family val="2"/>
    </font>
    <font>
      <b/>
      <sz val="12"/>
      <color indexed="8"/>
      <name val="Calibri"/>
      <family val="2"/>
    </font>
    <font>
      <sz val="15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04">
    <xf numFmtId="0" fontId="0" fillId="0" borderId="0" xfId="0"/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4" fontId="4" fillId="0" borderId="1" xfId="4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/>
    </xf>
    <xf numFmtId="44" fontId="7" fillId="0" borderId="1" xfId="13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4" fontId="4" fillId="0" borderId="5" xfId="4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44" fontId="11" fillId="0" borderId="1" xfId="4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4" fontId="5" fillId="2" borderId="1" xfId="4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4" fontId="4" fillId="2" borderId="1" xfId="4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4" fontId="4" fillId="0" borderId="1" xfId="4" applyFont="1" applyBorder="1" applyAlignment="1">
      <alignment vertical="center"/>
    </xf>
    <xf numFmtId="44" fontId="4" fillId="0" borderId="1" xfId="4" applyFont="1" applyBorder="1"/>
    <xf numFmtId="44" fontId="7" fillId="2" borderId="1" xfId="4" applyFont="1" applyFill="1" applyBorder="1" applyAlignment="1">
      <alignment horizontal="center" vertical="center"/>
    </xf>
    <xf numFmtId="44" fontId="7" fillId="0" borderId="1" xfId="13" applyFont="1" applyBorder="1" applyAlignment="1">
      <alignment vertical="center"/>
    </xf>
    <xf numFmtId="0" fontId="15" fillId="2" borderId="0" xfId="0" applyFont="1" applyFill="1"/>
    <xf numFmtId="0" fontId="15" fillId="0" borderId="0" xfId="0" applyFont="1"/>
    <xf numFmtId="0" fontId="15" fillId="0" borderId="0" xfId="0" applyFont="1" applyAlignment="1">
      <alignment horizontal="left" wrapText="1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/>
    <xf numFmtId="9" fontId="15" fillId="2" borderId="8" xfId="0" applyNumberFormat="1" applyFont="1" applyFill="1" applyBorder="1" applyAlignment="1"/>
    <xf numFmtId="0" fontId="15" fillId="2" borderId="8" xfId="0" applyFont="1" applyFill="1" applyBorder="1" applyAlignment="1"/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right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/>
    </xf>
    <xf numFmtId="164" fontId="16" fillId="2" borderId="21" xfId="0" applyNumberFormat="1" applyFont="1" applyFill="1" applyBorder="1" applyAlignment="1">
      <alignment horizontal="center" vertical="center"/>
    </xf>
    <xf numFmtId="164" fontId="16" fillId="2" borderId="21" xfId="0" applyNumberFormat="1" applyFont="1" applyFill="1" applyBorder="1" applyAlignment="1">
      <alignment horizontal="center" vertical="center" wrapText="1"/>
    </xf>
    <xf numFmtId="164" fontId="16" fillId="2" borderId="18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left" wrapText="1"/>
    </xf>
    <xf numFmtId="0" fontId="17" fillId="3" borderId="3" xfId="0" applyFont="1" applyFill="1" applyBorder="1" applyAlignment="1"/>
    <xf numFmtId="164" fontId="17" fillId="3" borderId="3" xfId="0" applyNumberFormat="1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/>
    <xf numFmtId="164" fontId="17" fillId="3" borderId="4" xfId="0" applyNumberFormat="1" applyFont="1" applyFill="1" applyBorder="1" applyAlignment="1"/>
    <xf numFmtId="0" fontId="18" fillId="2" borderId="1" xfId="0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center" vertical="center"/>
    </xf>
    <xf numFmtId="4" fontId="18" fillId="3" borderId="3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164" fontId="17" fillId="3" borderId="4" xfId="0" applyNumberFormat="1" applyFont="1" applyFill="1" applyBorder="1" applyAlignment="1">
      <alignment vertical="center"/>
    </xf>
    <xf numFmtId="0" fontId="15" fillId="3" borderId="0" xfId="0" applyFont="1" applyFill="1"/>
    <xf numFmtId="0" fontId="15" fillId="2" borderId="1" xfId="0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4" fontId="19" fillId="2" borderId="4" xfId="0" applyNumberFormat="1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wrapText="1"/>
    </xf>
    <xf numFmtId="0" fontId="18" fillId="4" borderId="1" xfId="0" applyFont="1" applyFill="1" applyBorder="1" applyAlignment="1">
      <alignment horizontal="center" vertical="center" wrapText="1"/>
    </xf>
    <xf numFmtId="44" fontId="18" fillId="4" borderId="1" xfId="4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vertical="center"/>
    </xf>
    <xf numFmtId="0" fontId="19" fillId="2" borderId="12" xfId="0" applyFont="1" applyFill="1" applyBorder="1" applyAlignment="1">
      <alignment horizontal="center" vertical="center"/>
    </xf>
    <xf numFmtId="164" fontId="19" fillId="2" borderId="12" xfId="0" applyNumberFormat="1" applyFont="1" applyFill="1" applyBorder="1" applyAlignment="1">
      <alignment vertical="center"/>
    </xf>
    <xf numFmtId="164" fontId="19" fillId="2" borderId="14" xfId="0" applyNumberFormat="1" applyFont="1" applyFill="1" applyBorder="1" applyAlignment="1">
      <alignment vertical="center"/>
    </xf>
    <xf numFmtId="165" fontId="15" fillId="0" borderId="0" xfId="0" applyNumberFormat="1" applyFont="1"/>
    <xf numFmtId="4" fontId="15" fillId="0" borderId="0" xfId="0" applyNumberFormat="1" applyFont="1"/>
    <xf numFmtId="0" fontId="18" fillId="2" borderId="1" xfId="0" applyFont="1" applyFill="1" applyBorder="1"/>
    <xf numFmtId="44" fontId="18" fillId="2" borderId="1" xfId="4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0" fontId="18" fillId="3" borderId="2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vertical="center" wrapText="1"/>
    </xf>
    <xf numFmtId="2" fontId="18" fillId="3" borderId="3" xfId="0" applyNumberFormat="1" applyFont="1" applyFill="1" applyBorder="1" applyAlignment="1">
      <alignment horizontal="center" vertical="center"/>
    </xf>
    <xf numFmtId="44" fontId="18" fillId="3" borderId="3" xfId="4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/>
    </xf>
    <xf numFmtId="2" fontId="15" fillId="0" borderId="3" xfId="0" applyNumberFormat="1" applyFont="1" applyFill="1" applyBorder="1" applyAlignment="1">
      <alignment horizontal="center" vertical="center"/>
    </xf>
    <xf numFmtId="44" fontId="15" fillId="0" borderId="3" xfId="4" applyFont="1" applyFill="1" applyBorder="1" applyAlignment="1">
      <alignment horizontal="center" vertical="center"/>
    </xf>
    <xf numFmtId="44" fontId="15" fillId="2" borderId="3" xfId="4" applyFont="1" applyFill="1" applyBorder="1" applyAlignment="1">
      <alignment horizontal="center" vertical="center"/>
    </xf>
    <xf numFmtId="44" fontId="15" fillId="2" borderId="4" xfId="4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left" wrapText="1"/>
    </xf>
    <xf numFmtId="0" fontId="18" fillId="3" borderId="22" xfId="0" applyFont="1" applyFill="1" applyBorder="1" applyAlignment="1">
      <alignment horizontal="center" vertical="center"/>
    </xf>
    <xf numFmtId="4" fontId="18" fillId="3" borderId="22" xfId="0" applyNumberFormat="1" applyFont="1" applyFill="1" applyBorder="1" applyAlignment="1">
      <alignment horizontal="center" vertical="center"/>
    </xf>
    <xf numFmtId="164" fontId="18" fillId="3" borderId="22" xfId="0" applyNumberFormat="1" applyFont="1" applyFill="1" applyBorder="1" applyAlignment="1">
      <alignment horizontal="right" vertical="center"/>
    </xf>
    <xf numFmtId="0" fontId="17" fillId="3" borderId="22" xfId="0" applyFont="1" applyFill="1" applyBorder="1" applyAlignment="1">
      <alignment horizontal="left" wrapText="1"/>
    </xf>
    <xf numFmtId="0" fontId="17" fillId="3" borderId="22" xfId="0" applyFont="1" applyFill="1" applyBorder="1" applyAlignment="1"/>
    <xf numFmtId="164" fontId="17" fillId="3" borderId="22" xfId="0" applyNumberFormat="1" applyFont="1" applyFill="1" applyBorder="1" applyAlignment="1">
      <alignment horizontal="center" vertical="center"/>
    </xf>
    <xf numFmtId="164" fontId="17" fillId="3" borderId="22" xfId="0" applyNumberFormat="1" applyFont="1" applyFill="1" applyBorder="1" applyAlignment="1"/>
    <xf numFmtId="164" fontId="17" fillId="3" borderId="19" xfId="0" applyNumberFormat="1" applyFont="1" applyFill="1" applyBorder="1" applyAlignment="1"/>
    <xf numFmtId="0" fontId="18" fillId="2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left" wrapText="1"/>
    </xf>
    <xf numFmtId="164" fontId="18" fillId="2" borderId="1" xfId="4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center" vertical="center"/>
    </xf>
    <xf numFmtId="4" fontId="18" fillId="2" borderId="5" xfId="0" applyNumberFormat="1" applyFont="1" applyFill="1" applyBorder="1" applyAlignment="1">
      <alignment horizontal="center" vertical="center"/>
    </xf>
    <xf numFmtId="164" fontId="18" fillId="2" borderId="5" xfId="4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vertical="center"/>
    </xf>
    <xf numFmtId="164" fontId="17" fillId="3" borderId="2" xfId="0" applyNumberFormat="1" applyFont="1" applyFill="1" applyBorder="1" applyAlignment="1">
      <alignment vertical="center"/>
    </xf>
    <xf numFmtId="0" fontId="17" fillId="3" borderId="1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9" fillId="2" borderId="1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vertical="center"/>
    </xf>
    <xf numFmtId="164" fontId="17" fillId="2" borderId="14" xfId="0" applyNumberFormat="1" applyFont="1" applyFill="1" applyBorder="1" applyAlignment="1">
      <alignment vertical="center"/>
    </xf>
    <xf numFmtId="0" fontId="17" fillId="2" borderId="13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vertical="center" wrapText="1"/>
    </xf>
    <xf numFmtId="0" fontId="18" fillId="2" borderId="1" xfId="0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left" wrapText="1"/>
    </xf>
    <xf numFmtId="0" fontId="17" fillId="3" borderId="1" xfId="0" applyFont="1" applyFill="1" applyBorder="1" applyAlignment="1"/>
    <xf numFmtId="164" fontId="17" fillId="3" borderId="1" xfId="0" applyNumberFormat="1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/>
    <xf numFmtId="0" fontId="21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3" xfId="0" applyFont="1" applyFill="1" applyBorder="1" applyAlignment="1"/>
    <xf numFmtId="0" fontId="21" fillId="3" borderId="4" xfId="0" applyFont="1" applyFill="1" applyBorder="1" applyAlignment="1"/>
    <xf numFmtId="0" fontId="22" fillId="2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wrapText="1"/>
    </xf>
    <xf numFmtId="0" fontId="18" fillId="0" borderId="11" xfId="0" applyFont="1" applyFill="1" applyBorder="1" applyAlignment="1">
      <alignment horizontal="center" vertical="center"/>
    </xf>
    <xf numFmtId="4" fontId="22" fillId="0" borderId="11" xfId="0" applyNumberFormat="1" applyFont="1" applyFill="1" applyBorder="1" applyAlignment="1">
      <alignment horizontal="center" vertical="center"/>
    </xf>
    <xf numFmtId="164" fontId="22" fillId="2" borderId="11" xfId="4" applyNumberFormat="1" applyFont="1" applyFill="1" applyBorder="1" applyAlignment="1">
      <alignment horizontal="center" vertical="center"/>
    </xf>
    <xf numFmtId="164" fontId="22" fillId="2" borderId="1" xfId="0" applyNumberFormat="1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center" vertical="center"/>
    </xf>
    <xf numFmtId="164" fontId="22" fillId="2" borderId="1" xfId="4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64" fontId="22" fillId="2" borderId="11" xfId="0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left" wrapText="1"/>
    </xf>
    <xf numFmtId="0" fontId="22" fillId="2" borderId="1" xfId="0" applyFont="1" applyFill="1" applyBorder="1" applyAlignment="1">
      <alignment wrapText="1"/>
    </xf>
    <xf numFmtId="44" fontId="22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/>
    </xf>
    <xf numFmtId="4" fontId="22" fillId="0" borderId="5" xfId="0" applyNumberFormat="1" applyFont="1" applyFill="1" applyBorder="1" applyAlignment="1">
      <alignment horizontal="center" vertical="center"/>
    </xf>
    <xf numFmtId="164" fontId="22" fillId="2" borderId="5" xfId="4" applyNumberFormat="1" applyFont="1" applyFill="1" applyBorder="1" applyAlignment="1">
      <alignment horizontal="center" vertical="center"/>
    </xf>
    <xf numFmtId="164" fontId="22" fillId="2" borderId="5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4" fontId="12" fillId="0" borderId="1" xfId="4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8" fillId="2" borderId="1" xfId="27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" fontId="18" fillId="2" borderId="1" xfId="26" applyNumberFormat="1" applyFont="1" applyFill="1" applyBorder="1" applyAlignment="1">
      <alignment horizontal="center" vertical="center"/>
    </xf>
    <xf numFmtId="4" fontId="18" fillId="2" borderId="11" xfId="0" applyNumberFormat="1" applyFont="1" applyFill="1" applyBorder="1" applyAlignment="1">
      <alignment horizontal="center" vertical="center"/>
    </xf>
    <xf numFmtId="164" fontId="18" fillId="2" borderId="11" xfId="4" applyNumberFormat="1" applyFont="1" applyFill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7" fillId="3" borderId="4" xfId="0" applyFont="1" applyFill="1" applyBorder="1" applyAlignment="1">
      <alignment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/>
    <xf numFmtId="0" fontId="17" fillId="3" borderId="5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2" xfId="0" applyFont="1" applyFill="1" applyBorder="1" applyAlignment="1"/>
    <xf numFmtId="164" fontId="18" fillId="2" borderId="1" xfId="4" quotePrefix="1" applyNumberFormat="1" applyFont="1" applyFill="1" applyBorder="1" applyAlignment="1">
      <alignment horizontal="center" vertical="center"/>
    </xf>
    <xf numFmtId="164" fontId="18" fillId="3" borderId="3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 wrapText="1"/>
    </xf>
    <xf numFmtId="164" fontId="18" fillId="0" borderId="0" xfId="0" applyNumberFormat="1" applyFont="1" applyAlignment="1">
      <alignment horizontal="center" vertical="center"/>
    </xf>
    <xf numFmtId="164" fontId="18" fillId="0" borderId="0" xfId="0" applyNumberFormat="1" applyFont="1"/>
    <xf numFmtId="0" fontId="11" fillId="2" borderId="0" xfId="0" applyFont="1" applyFill="1"/>
    <xf numFmtId="0" fontId="14" fillId="2" borderId="0" xfId="0" applyFont="1" applyFill="1"/>
    <xf numFmtId="0" fontId="24" fillId="2" borderId="0" xfId="0" applyFont="1" applyFill="1"/>
    <xf numFmtId="0" fontId="24" fillId="0" borderId="0" xfId="0" applyFont="1"/>
    <xf numFmtId="44" fontId="24" fillId="0" borderId="0" xfId="0" applyNumberFormat="1" applyFont="1"/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0" borderId="0" xfId="0" applyFont="1"/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44" fontId="5" fillId="6" borderId="1" xfId="4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4" fontId="5" fillId="6" borderId="1" xfId="4" applyFont="1" applyFill="1" applyBorder="1" applyAlignmen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 wrapText="1"/>
    </xf>
    <xf numFmtId="4" fontId="13" fillId="6" borderId="1" xfId="0" applyNumberFormat="1" applyFont="1" applyFill="1" applyBorder="1" applyAlignment="1">
      <alignment horizontal="center" vertical="center"/>
    </xf>
    <xf numFmtId="44" fontId="13" fillId="6" borderId="1" xfId="4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44" fontId="13" fillId="6" borderId="1" xfId="13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2" fillId="0" borderId="0" xfId="0" applyFont="1"/>
    <xf numFmtId="0" fontId="23" fillId="6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 vertical="center"/>
    </xf>
    <xf numFmtId="44" fontId="12" fillId="6" borderId="1" xfId="4" applyFont="1" applyFill="1" applyBorder="1" applyAlignment="1">
      <alignment horizontal="center" vertical="center"/>
    </xf>
    <xf numFmtId="44" fontId="23" fillId="6" borderId="1" xfId="4" applyFont="1" applyFill="1" applyBorder="1" applyAlignment="1">
      <alignment horizontal="center" vertical="center"/>
    </xf>
    <xf numFmtId="4" fontId="23" fillId="6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44" fontId="18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164" fontId="17" fillId="0" borderId="15" xfId="0" applyNumberFormat="1" applyFont="1" applyBorder="1" applyAlignment="1">
      <alignment horizontal="center" vertical="center" wrapText="1"/>
    </xf>
    <xf numFmtId="164" fontId="17" fillId="0" borderId="17" xfId="0" applyNumberFormat="1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wrapText="1"/>
    </xf>
    <xf numFmtId="49" fontId="17" fillId="0" borderId="16" xfId="0" applyNumberFormat="1" applyFont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5" fillId="0" borderId="6" xfId="21" applyFont="1" applyFill="1" applyBorder="1" applyAlignment="1">
      <alignment horizontal="center" vertical="center"/>
    </xf>
    <xf numFmtId="0" fontId="25" fillId="0" borderId="7" xfId="21" applyFont="1" applyFill="1" applyBorder="1" applyAlignment="1">
      <alignment horizontal="center" vertical="center"/>
    </xf>
    <xf numFmtId="0" fontId="25" fillId="0" borderId="15" xfId="21" applyFont="1" applyFill="1" applyBorder="1" applyAlignment="1">
      <alignment horizontal="center" vertical="center"/>
    </xf>
    <xf numFmtId="0" fontId="2" fillId="0" borderId="0" xfId="21"/>
    <xf numFmtId="0" fontId="25" fillId="0" borderId="8" xfId="21" applyFont="1" applyFill="1" applyBorder="1" applyAlignment="1">
      <alignment horizontal="center" vertical="center"/>
    </xf>
    <xf numFmtId="0" fontId="25" fillId="0" borderId="0" xfId="21" applyFont="1" applyFill="1" applyBorder="1" applyAlignment="1">
      <alignment horizontal="center" vertical="center"/>
    </xf>
    <xf numFmtId="0" fontId="25" fillId="0" borderId="16" xfId="21" applyFont="1" applyFill="1" applyBorder="1" applyAlignment="1">
      <alignment horizontal="center" vertical="center"/>
    </xf>
    <xf numFmtId="0" fontId="25" fillId="0" borderId="9" xfId="21" applyFont="1" applyFill="1" applyBorder="1" applyAlignment="1">
      <alignment horizontal="center" vertical="center"/>
    </xf>
    <xf numFmtId="0" fontId="25" fillId="0" borderId="10" xfId="21" applyFont="1" applyFill="1" applyBorder="1" applyAlignment="1">
      <alignment horizontal="center" vertical="center"/>
    </xf>
    <xf numFmtId="0" fontId="25" fillId="0" borderId="17" xfId="21" applyFont="1" applyFill="1" applyBorder="1" applyAlignment="1">
      <alignment horizontal="center" vertical="center"/>
    </xf>
    <xf numFmtId="0" fontId="26" fillId="0" borderId="18" xfId="21" applyFont="1" applyBorder="1" applyAlignment="1"/>
    <xf numFmtId="0" fontId="26" fillId="0" borderId="18" xfId="21" applyFont="1" applyBorder="1" applyAlignment="1">
      <alignment horizontal="left"/>
    </xf>
    <xf numFmtId="0" fontId="27" fillId="0" borderId="18" xfId="21" applyNumberFormat="1" applyFont="1" applyFill="1" applyBorder="1" applyAlignment="1">
      <alignment horizontal="center" vertical="center"/>
    </xf>
    <xf numFmtId="10" fontId="27" fillId="0" borderId="18" xfId="21" applyNumberFormat="1" applyFont="1" applyFill="1" applyBorder="1" applyAlignment="1">
      <alignment horizontal="center" vertical="center" wrapText="1"/>
    </xf>
    <xf numFmtId="10" fontId="27" fillId="0" borderId="8" xfId="21" applyNumberFormat="1" applyFont="1" applyFill="1" applyBorder="1" applyAlignment="1">
      <alignment vertical="center"/>
    </xf>
    <xf numFmtId="0" fontId="27" fillId="0" borderId="8" xfId="21" applyNumberFormat="1" applyFont="1" applyFill="1" applyBorder="1" applyAlignment="1">
      <alignment vertical="center"/>
    </xf>
    <xf numFmtId="2" fontId="27" fillId="0" borderId="18" xfId="28" applyNumberFormat="1" applyFont="1" applyFill="1" applyBorder="1" applyAlignment="1">
      <alignment horizontal="center" vertical="center"/>
    </xf>
    <xf numFmtId="169" fontId="26" fillId="0" borderId="18" xfId="21" applyNumberFormat="1" applyFont="1" applyBorder="1" applyAlignment="1"/>
    <xf numFmtId="0" fontId="17" fillId="0" borderId="27" xfId="21" applyFont="1" applyBorder="1" applyAlignment="1">
      <alignment horizontal="center" vertical="center"/>
    </xf>
    <xf numFmtId="0" fontId="17" fillId="0" borderId="28" xfId="21" applyFont="1" applyBorder="1" applyAlignment="1">
      <alignment horizontal="center" vertical="center"/>
    </xf>
    <xf numFmtId="0" fontId="17" fillId="0" borderId="20" xfId="21" applyFont="1" applyBorder="1" applyAlignment="1">
      <alignment horizontal="center" vertical="center"/>
    </xf>
    <xf numFmtId="0" fontId="17" fillId="0" borderId="29" xfId="21" applyFont="1" applyBorder="1" applyAlignment="1">
      <alignment horizontal="center" vertical="center"/>
    </xf>
    <xf numFmtId="0" fontId="17" fillId="0" borderId="30" xfId="21" applyFont="1" applyBorder="1" applyAlignment="1">
      <alignment horizontal="center" wrapText="1"/>
    </xf>
    <xf numFmtId="0" fontId="27" fillId="7" borderId="25" xfId="21" applyFont="1" applyFill="1" applyBorder="1" applyAlignment="1">
      <alignment horizontal="center"/>
    </xf>
    <xf numFmtId="1" fontId="27" fillId="7" borderId="28" xfId="21" applyNumberFormat="1" applyFont="1" applyFill="1" applyBorder="1" applyAlignment="1">
      <alignment horizontal="left"/>
    </xf>
    <xf numFmtId="1" fontId="27" fillId="7" borderId="20" xfId="21" applyNumberFormat="1" applyFont="1" applyFill="1" applyBorder="1" applyAlignment="1">
      <alignment horizontal="left"/>
    </xf>
    <xf numFmtId="1" fontId="27" fillId="7" borderId="29" xfId="21" applyNumberFormat="1" applyFont="1" applyFill="1" applyBorder="1" applyAlignment="1">
      <alignment horizontal="left"/>
    </xf>
    <xf numFmtId="4" fontId="27" fillId="7" borderId="31" xfId="21" applyNumberFormat="1" applyFont="1" applyFill="1" applyBorder="1" applyAlignment="1">
      <alignment horizontal="center"/>
    </xf>
    <xf numFmtId="0" fontId="17" fillId="0" borderId="0" xfId="21" applyFont="1" applyFill="1" applyBorder="1" applyAlignment="1">
      <alignment horizontal="center" vertical="center"/>
    </xf>
    <xf numFmtId="0" fontId="2" fillId="0" borderId="32" xfId="21" applyFont="1" applyBorder="1" applyAlignment="1">
      <alignment horizontal="center"/>
    </xf>
    <xf numFmtId="1" fontId="2" fillId="0" borderId="33" xfId="21" applyNumberFormat="1" applyFont="1" applyBorder="1" applyAlignment="1">
      <alignment horizontal="left"/>
    </xf>
    <xf numFmtId="0" fontId="2" fillId="0" borderId="34" xfId="21" applyFont="1" applyBorder="1" applyAlignment="1">
      <alignment horizontal="left"/>
    </xf>
    <xf numFmtId="0" fontId="2" fillId="0" borderId="34" xfId="21" applyBorder="1" applyAlignment="1">
      <alignment horizontal="left"/>
    </xf>
    <xf numFmtId="0" fontId="2" fillId="0" borderId="35" xfId="21" applyBorder="1" applyAlignment="1">
      <alignment horizontal="left"/>
    </xf>
    <xf numFmtId="2" fontId="2" fillId="0" borderId="36" xfId="22" applyNumberFormat="1" applyFont="1" applyBorder="1" applyAlignment="1">
      <alignment horizontal="center"/>
    </xf>
    <xf numFmtId="2" fontId="28" fillId="0" borderId="21" xfId="20" applyNumberFormat="1" applyFont="1" applyBorder="1" applyAlignment="1">
      <alignment horizontal="center" vertical="center"/>
    </xf>
    <xf numFmtId="2" fontId="29" fillId="0" borderId="37" xfId="20" applyNumberFormat="1" applyFont="1" applyBorder="1" applyAlignment="1">
      <alignment horizontal="center" vertical="center"/>
    </xf>
    <xf numFmtId="0" fontId="2" fillId="0" borderId="38" xfId="21" applyFont="1" applyBorder="1" applyAlignment="1">
      <alignment horizontal="center"/>
    </xf>
    <xf numFmtId="1" fontId="2" fillId="0" borderId="2" xfId="21" applyNumberFormat="1" applyFont="1" applyBorder="1" applyAlignment="1">
      <alignment horizontal="left"/>
    </xf>
    <xf numFmtId="0" fontId="2" fillId="0" borderId="3" xfId="21" applyFont="1" applyBorder="1" applyAlignment="1">
      <alignment horizontal="left"/>
    </xf>
    <xf numFmtId="0" fontId="2" fillId="0" borderId="3" xfId="21" applyBorder="1" applyAlignment="1">
      <alignment horizontal="left"/>
    </xf>
    <xf numFmtId="0" fontId="2" fillId="0" borderId="4" xfId="21" applyBorder="1" applyAlignment="1">
      <alignment horizontal="left"/>
    </xf>
    <xf numFmtId="2" fontId="2" fillId="0" borderId="39" xfId="22" applyNumberFormat="1" applyFont="1" applyBorder="1" applyAlignment="1">
      <alignment horizontal="center"/>
    </xf>
    <xf numFmtId="0" fontId="2" fillId="0" borderId="40" xfId="21" applyFont="1" applyBorder="1" applyAlignment="1">
      <alignment horizontal="center"/>
    </xf>
    <xf numFmtId="1" fontId="2" fillId="0" borderId="41" xfId="21" applyNumberFormat="1" applyFont="1" applyBorder="1" applyAlignment="1">
      <alignment horizontal="left"/>
    </xf>
    <xf numFmtId="0" fontId="2" fillId="0" borderId="42" xfId="21" applyFont="1" applyBorder="1" applyAlignment="1">
      <alignment horizontal="left"/>
    </xf>
    <xf numFmtId="0" fontId="2" fillId="0" borderId="42" xfId="21" applyBorder="1" applyAlignment="1">
      <alignment horizontal="left"/>
    </xf>
    <xf numFmtId="0" fontId="2" fillId="0" borderId="43" xfId="21" applyBorder="1" applyAlignment="1">
      <alignment horizontal="left"/>
    </xf>
    <xf numFmtId="2" fontId="2" fillId="0" borderId="44" xfId="22" applyNumberFormat="1" applyFont="1" applyBorder="1" applyAlignment="1">
      <alignment horizontal="center"/>
    </xf>
    <xf numFmtId="2" fontId="28" fillId="0" borderId="21" xfId="21" applyNumberFormat="1" applyFont="1" applyBorder="1" applyAlignment="1">
      <alignment horizontal="center"/>
    </xf>
    <xf numFmtId="0" fontId="29" fillId="0" borderId="37" xfId="21" applyFont="1" applyBorder="1" applyAlignment="1">
      <alignment horizontal="center"/>
    </xf>
    <xf numFmtId="0" fontId="27" fillId="7" borderId="20" xfId="21" applyFont="1" applyFill="1" applyBorder="1" applyAlignment="1">
      <alignment horizontal="left"/>
    </xf>
    <xf numFmtId="0" fontId="2" fillId="7" borderId="20" xfId="21" applyFill="1" applyBorder="1" applyAlignment="1">
      <alignment horizontal="left"/>
    </xf>
    <xf numFmtId="0" fontId="2" fillId="7" borderId="29" xfId="21" applyFill="1" applyBorder="1" applyAlignment="1">
      <alignment horizontal="left"/>
    </xf>
    <xf numFmtId="0" fontId="2" fillId="0" borderId="45" xfId="21" applyFont="1" applyBorder="1" applyAlignment="1">
      <alignment horizontal="center"/>
    </xf>
    <xf numFmtId="1" fontId="2" fillId="0" borderId="28" xfId="21" applyNumberFormat="1" applyFont="1" applyBorder="1" applyAlignment="1">
      <alignment horizontal="left"/>
    </xf>
    <xf numFmtId="0" fontId="2" fillId="0" borderId="20" xfId="21" applyFont="1" applyBorder="1" applyAlignment="1">
      <alignment horizontal="left"/>
    </xf>
    <xf numFmtId="0" fontId="2" fillId="0" borderId="20" xfId="21" applyBorder="1" applyAlignment="1">
      <alignment horizontal="left"/>
    </xf>
    <xf numFmtId="0" fontId="2" fillId="0" borderId="29" xfId="21" applyBorder="1" applyAlignment="1">
      <alignment horizontal="left"/>
    </xf>
    <xf numFmtId="4" fontId="2" fillId="0" borderId="46" xfId="21" applyNumberFormat="1" applyFont="1" applyBorder="1" applyAlignment="1">
      <alignment horizontal="center"/>
    </xf>
    <xf numFmtId="0" fontId="28" fillId="0" borderId="0" xfId="21" applyFont="1" applyFill="1" applyBorder="1" applyAlignment="1">
      <alignment vertical="center"/>
    </xf>
    <xf numFmtId="0" fontId="27" fillId="0" borderId="32" xfId="21" applyFont="1" applyBorder="1" applyAlignment="1">
      <alignment horizontal="center"/>
    </xf>
    <xf numFmtId="1" fontId="2" fillId="0" borderId="34" xfId="21" applyNumberFormat="1" applyFont="1" applyBorder="1" applyAlignment="1">
      <alignment horizontal="left"/>
    </xf>
    <xf numFmtId="4" fontId="2" fillId="2" borderId="36" xfId="21" applyNumberFormat="1" applyFont="1" applyFill="1" applyBorder="1" applyAlignment="1">
      <alignment horizontal="center"/>
    </xf>
    <xf numFmtId="0" fontId="27" fillId="0" borderId="38" xfId="21" applyFont="1" applyBorder="1" applyAlignment="1">
      <alignment horizontal="center"/>
    </xf>
    <xf numFmtId="1" fontId="2" fillId="0" borderId="3" xfId="21" applyNumberFormat="1" applyFont="1" applyBorder="1" applyAlignment="1">
      <alignment horizontal="left"/>
    </xf>
    <xf numFmtId="4" fontId="2" fillId="0" borderId="39" xfId="21" applyNumberFormat="1" applyFont="1" applyBorder="1" applyAlignment="1">
      <alignment horizontal="center"/>
    </xf>
    <xf numFmtId="0" fontId="27" fillId="0" borderId="40" xfId="21" applyFont="1" applyBorder="1" applyAlignment="1">
      <alignment horizontal="center"/>
    </xf>
    <xf numFmtId="4" fontId="2" fillId="0" borderId="44" xfId="21" applyNumberFormat="1" applyFont="1" applyBorder="1" applyAlignment="1">
      <alignment horizontal="center"/>
    </xf>
    <xf numFmtId="0" fontId="2" fillId="0" borderId="0" xfId="21" applyFill="1" applyBorder="1"/>
    <xf numFmtId="0" fontId="2" fillId="0" borderId="9" xfId="21" applyFont="1" applyFill="1" applyBorder="1" applyAlignment="1">
      <alignment horizontal="left"/>
    </xf>
    <xf numFmtId="0" fontId="2" fillId="0" borderId="10" xfId="21" applyFont="1" applyFill="1" applyBorder="1" applyAlignment="1">
      <alignment horizontal="left"/>
    </xf>
    <xf numFmtId="0" fontId="2" fillId="0" borderId="17" xfId="21" applyFont="1" applyFill="1" applyBorder="1" applyAlignment="1">
      <alignment horizontal="left"/>
    </xf>
    <xf numFmtId="0" fontId="2" fillId="0" borderId="21" xfId="21" applyFont="1" applyFill="1" applyBorder="1" applyAlignment="1">
      <alignment horizontal="left" vertical="center" wrapText="1"/>
    </xf>
    <xf numFmtId="0" fontId="2" fillId="0" borderId="20" xfId="21" applyFont="1" applyFill="1" applyBorder="1" applyAlignment="1">
      <alignment horizontal="left" vertical="center" wrapText="1"/>
    </xf>
    <xf numFmtId="0" fontId="2" fillId="0" borderId="37" xfId="21" applyFont="1" applyFill="1" applyBorder="1" applyAlignment="1">
      <alignment horizontal="left" vertical="center" wrapText="1"/>
    </xf>
    <xf numFmtId="2" fontId="30" fillId="0" borderId="0" xfId="21" applyNumberFormat="1" applyFont="1"/>
    <xf numFmtId="0" fontId="31" fillId="7" borderId="21" xfId="21" applyFont="1" applyFill="1" applyBorder="1" applyAlignment="1">
      <alignment horizontal="center" vertical="center" wrapText="1"/>
    </xf>
    <xf numFmtId="0" fontId="31" fillId="7" borderId="20" xfId="21" applyFont="1" applyFill="1" applyBorder="1" applyAlignment="1">
      <alignment horizontal="center" vertical="center" wrapText="1"/>
    </xf>
    <xf numFmtId="0" fontId="31" fillId="7" borderId="37" xfId="21" applyFont="1" applyFill="1" applyBorder="1" applyAlignment="1">
      <alignment horizontal="center" vertical="center" wrapText="1"/>
    </xf>
    <xf numFmtId="2" fontId="32" fillId="7" borderId="18" xfId="21" applyNumberFormat="1" applyFont="1" applyFill="1" applyBorder="1" applyAlignment="1">
      <alignment horizontal="center" vertical="center"/>
    </xf>
    <xf numFmtId="0" fontId="17" fillId="0" borderId="21" xfId="21" applyFont="1" applyBorder="1" applyAlignment="1">
      <alignment horizontal="center"/>
    </xf>
    <xf numFmtId="0" fontId="17" fillId="0" borderId="20" xfId="21" applyFont="1" applyBorder="1" applyAlignment="1">
      <alignment horizontal="center"/>
    </xf>
    <xf numFmtId="0" fontId="17" fillId="0" borderId="37" xfId="21" applyFont="1" applyBorder="1" applyAlignment="1">
      <alignment horizontal="center"/>
    </xf>
    <xf numFmtId="166" fontId="16" fillId="0" borderId="18" xfId="23" applyFont="1" applyBorder="1" applyAlignment="1">
      <alignment vertical="center"/>
    </xf>
    <xf numFmtId="10" fontId="28" fillId="0" borderId="0" xfId="22" applyNumberFormat="1" applyFont="1" applyFill="1" applyBorder="1" applyAlignment="1">
      <alignment vertical="center"/>
    </xf>
    <xf numFmtId="1" fontId="27" fillId="0" borderId="9" xfId="21" applyNumberFormat="1" applyFont="1" applyBorder="1" applyAlignment="1">
      <alignment horizontal="center" vertical="center"/>
    </xf>
    <xf numFmtId="1" fontId="27" fillId="0" borderId="10" xfId="21" applyNumberFormat="1" applyFont="1" applyBorder="1" applyAlignment="1">
      <alignment horizontal="center" vertical="center"/>
    </xf>
    <xf numFmtId="1" fontId="27" fillId="0" borderId="17" xfId="21" applyNumberFormat="1" applyFont="1" applyBorder="1" applyAlignment="1">
      <alignment horizontal="center" vertical="center"/>
    </xf>
    <xf numFmtId="0" fontId="33" fillId="0" borderId="21" xfId="21" applyFont="1" applyBorder="1" applyAlignment="1">
      <alignment horizontal="center" vertical="center" wrapText="1"/>
    </xf>
    <xf numFmtId="0" fontId="33" fillId="0" borderId="20" xfId="21" applyFont="1" applyBorder="1" applyAlignment="1">
      <alignment horizontal="center" vertical="center" wrapText="1"/>
    </xf>
    <xf numFmtId="0" fontId="33" fillId="0" borderId="37" xfId="21" applyFont="1" applyBorder="1" applyAlignment="1">
      <alignment horizontal="center" vertical="center" wrapText="1"/>
    </xf>
    <xf numFmtId="0" fontId="2" fillId="0" borderId="0" xfId="21" applyFont="1"/>
    <xf numFmtId="0" fontId="2" fillId="0" borderId="6" xfId="21" applyBorder="1" applyAlignment="1">
      <alignment horizontal="center"/>
    </xf>
    <xf numFmtId="0" fontId="2" fillId="0" borderId="7" xfId="21" applyBorder="1" applyAlignment="1">
      <alignment horizontal="center"/>
    </xf>
    <xf numFmtId="0" fontId="2" fillId="0" borderId="15" xfId="21" applyBorder="1" applyAlignment="1">
      <alignment horizontal="center"/>
    </xf>
    <xf numFmtId="0" fontId="2" fillId="0" borderId="8" xfId="21" applyBorder="1" applyAlignment="1">
      <alignment horizontal="center"/>
    </xf>
    <xf numFmtId="0" fontId="2" fillId="0" borderId="0" xfId="21" applyBorder="1" applyAlignment="1">
      <alignment horizontal="center"/>
    </xf>
    <xf numFmtId="0" fontId="2" fillId="0" borderId="16" xfId="21" applyBorder="1" applyAlignment="1">
      <alignment horizontal="center"/>
    </xf>
    <xf numFmtId="0" fontId="34" fillId="0" borderId="0" xfId="21" applyFont="1"/>
    <xf numFmtId="0" fontId="2" fillId="0" borderId="9" xfId="21" applyBorder="1" applyAlignment="1">
      <alignment horizontal="center"/>
    </xf>
    <xf numFmtId="0" fontId="2" fillId="0" borderId="10" xfId="21" applyBorder="1" applyAlignment="1">
      <alignment horizontal="center"/>
    </xf>
    <xf numFmtId="0" fontId="2" fillId="0" borderId="17" xfId="21" applyBorder="1" applyAlignment="1">
      <alignment horizontal="center"/>
    </xf>
    <xf numFmtId="0" fontId="3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170" fontId="38" fillId="0" borderId="1" xfId="0" applyNumberFormat="1" applyFont="1" applyBorder="1" applyAlignment="1">
      <alignment horizontal="right" vertical="center"/>
    </xf>
    <xf numFmtId="170" fontId="38" fillId="0" borderId="1" xfId="0" applyNumberFormat="1" applyFont="1" applyBorder="1" applyAlignment="1">
      <alignment horizontal="center" vertical="center"/>
    </xf>
    <xf numFmtId="170" fontId="37" fillId="0" borderId="1" xfId="0" applyNumberFormat="1" applyFont="1" applyBorder="1" applyAlignment="1">
      <alignment horizontal="right" vertical="center"/>
    </xf>
    <xf numFmtId="170" fontId="37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37" fillId="0" borderId="1" xfId="0" applyFont="1" applyBorder="1" applyAlignment="1">
      <alignment horizontal="left" vertical="center"/>
    </xf>
    <xf numFmtId="0" fontId="37" fillId="0" borderId="1" xfId="0" applyNumberFormat="1" applyFont="1" applyBorder="1" applyAlignment="1">
      <alignment horizontal="center" vertical="center"/>
    </xf>
    <xf numFmtId="0" fontId="39" fillId="8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10" fontId="38" fillId="0" borderId="1" xfId="0" applyNumberFormat="1" applyFont="1" applyBorder="1" applyAlignment="1">
      <alignment horizontal="center" vertical="center"/>
    </xf>
    <xf numFmtId="171" fontId="40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0" fontId="37" fillId="0" borderId="1" xfId="0" applyNumberFormat="1" applyFont="1" applyBorder="1" applyAlignment="1">
      <alignment horizontal="center" vertical="center"/>
    </xf>
    <xf numFmtId="170" fontId="26" fillId="0" borderId="1" xfId="0" applyNumberFormat="1" applyFont="1" applyBorder="1" applyAlignment="1">
      <alignment horizontal="right" vertical="center"/>
    </xf>
    <xf numFmtId="10" fontId="26" fillId="0" borderId="1" xfId="0" applyNumberFormat="1" applyFont="1" applyBorder="1" applyAlignment="1">
      <alignment horizontal="center" vertical="center"/>
    </xf>
    <xf numFmtId="9" fontId="37" fillId="0" borderId="1" xfId="0" applyNumberFormat="1" applyFont="1" applyBorder="1" applyAlignment="1">
      <alignment horizontal="center" vertical="center"/>
    </xf>
    <xf numFmtId="170" fontId="37" fillId="0" borderId="1" xfId="0" applyNumberFormat="1" applyFont="1" applyBorder="1" applyAlignment="1">
      <alignment vertical="center"/>
    </xf>
    <xf numFmtId="170" fontId="26" fillId="0" borderId="1" xfId="0" applyNumberFormat="1" applyFont="1" applyBorder="1" applyAlignment="1">
      <alignment horizontal="center" vertical="center"/>
    </xf>
    <xf numFmtId="9" fontId="26" fillId="0" borderId="1" xfId="28" applyFont="1" applyBorder="1" applyAlignment="1">
      <alignment horizontal="center" vertical="center"/>
    </xf>
    <xf numFmtId="0" fontId="39" fillId="0" borderId="11" xfId="0" applyFont="1" applyFill="1" applyBorder="1" applyAlignment="1">
      <alignment horizontal="left" vertical="center"/>
    </xf>
    <xf numFmtId="0" fontId="35" fillId="0" borderId="27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37" fillId="0" borderId="38" xfId="0" applyFont="1" applyBorder="1" applyAlignment="1">
      <alignment vertical="center"/>
    </xf>
    <xf numFmtId="0" fontId="37" fillId="0" borderId="39" xfId="0" applyNumberFormat="1" applyFont="1" applyBorder="1" applyAlignment="1">
      <alignment horizontal="center" vertical="center" wrapText="1"/>
    </xf>
    <xf numFmtId="10" fontId="37" fillId="0" borderId="39" xfId="0" applyNumberFormat="1" applyFont="1" applyBorder="1" applyAlignment="1">
      <alignment horizontal="center" vertical="center"/>
    </xf>
    <xf numFmtId="0" fontId="37" fillId="0" borderId="47" xfId="0" applyFont="1" applyBorder="1" applyAlignment="1">
      <alignment vertical="center"/>
    </xf>
    <xf numFmtId="0" fontId="37" fillId="0" borderId="48" xfId="0" applyFont="1" applyBorder="1" applyAlignment="1">
      <alignment horizontal="left" vertical="center"/>
    </xf>
    <xf numFmtId="0" fontId="37" fillId="0" borderId="48" xfId="0" applyNumberFormat="1" applyFont="1" applyBorder="1" applyAlignment="1">
      <alignment horizontal="center" vertical="center"/>
    </xf>
    <xf numFmtId="0" fontId="37" fillId="0" borderId="49" xfId="0" applyNumberFormat="1" applyFont="1" applyBorder="1" applyAlignment="1">
      <alignment horizontal="center" vertical="center"/>
    </xf>
  </cellXfs>
  <cellStyles count="29">
    <cellStyle name="Currency 2 2 3" xfId="2"/>
    <cellStyle name="Currency 2 2 3 2" xfId="5"/>
    <cellStyle name="Currency 2 2 3 3" xfId="18"/>
    <cellStyle name="Moeda" xfId="4" builtinId="4"/>
    <cellStyle name="Moeda 2" xfId="6"/>
    <cellStyle name="Moeda 2 2" xfId="23"/>
    <cellStyle name="Moeda 2 3" xfId="14"/>
    <cellStyle name="Moeda 3" xfId="7"/>
    <cellStyle name="Moeda 3 2" xfId="19"/>
    <cellStyle name="Moeda 4" xfId="24"/>
    <cellStyle name="Moeda 5" xfId="13"/>
    <cellStyle name="Normal" xfId="0" builtinId="0"/>
    <cellStyle name="Normal 10" xfId="3"/>
    <cellStyle name="Normal 2" xfId="11"/>
    <cellStyle name="Normal 2 2 2" xfId="21"/>
    <cellStyle name="Normal 3 2" xfId="20"/>
    <cellStyle name="Normal 32 2 2" xfId="1"/>
    <cellStyle name="Normal_Orçamento Padrão-03-2014" xfId="27"/>
    <cellStyle name="Porcentagem" xfId="28" builtinId="5"/>
    <cellStyle name="Porcentagem 2 2" xfId="22"/>
    <cellStyle name="Porcentagem 3" xfId="10"/>
    <cellStyle name="Separador de milhares 3 2" xfId="8"/>
    <cellStyle name="Separador de milhares 3 2 2" xfId="15"/>
    <cellStyle name="Separador de milhares 6" xfId="9"/>
    <cellStyle name="Separador de milhares 6 2" xfId="16"/>
    <cellStyle name="Vírgula" xfId="26" builtinId="3"/>
    <cellStyle name="Vírgula 2" xfId="12"/>
    <cellStyle name="Vírgula 2 2" xfId="17"/>
    <cellStyle name="Vírgula 3" xfId="25"/>
  </cellStyles>
  <dxfs count="0"/>
  <tableStyles count="0" defaultTableStyle="TableStyleMedium2" defaultPivotStyle="PivotStyleLight16"/>
  <colors>
    <mruColors>
      <color rgb="FF79F07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388409</xdr:colOff>
      <xdr:row>2</xdr:row>
      <xdr:rowOff>158751</xdr:rowOff>
    </xdr:from>
    <xdr:to>
      <xdr:col>3</xdr:col>
      <xdr:colOff>44954</xdr:colOff>
      <xdr:row>4</xdr:row>
      <xdr:rowOff>84713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92" y="539751"/>
          <a:ext cx="1493045" cy="464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23054</xdr:colOff>
      <xdr:row>11</xdr:row>
      <xdr:rowOff>15022</xdr:rowOff>
    </xdr:from>
    <xdr:to>
      <xdr:col>7</xdr:col>
      <xdr:colOff>1004888</xdr:colOff>
      <xdr:row>11</xdr:row>
      <xdr:rowOff>157164</xdr:rowOff>
    </xdr:to>
    <xdr:sp macro="" textlink="">
      <xdr:nvSpPr>
        <xdr:cNvPr id="2" name="Seta para a esquerda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8605079" y="2320072"/>
          <a:ext cx="981834" cy="142142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21773</xdr:colOff>
      <xdr:row>12</xdr:row>
      <xdr:rowOff>20516</xdr:rowOff>
    </xdr:from>
    <xdr:to>
      <xdr:col>7</xdr:col>
      <xdr:colOff>1003607</xdr:colOff>
      <xdr:row>12</xdr:row>
      <xdr:rowOff>159727</xdr:rowOff>
    </xdr:to>
    <xdr:sp macro="" textlink="">
      <xdr:nvSpPr>
        <xdr:cNvPr id="3" name="Seta para a esquerda 2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8603798" y="2497016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22505</xdr:colOff>
      <xdr:row>13</xdr:row>
      <xdr:rowOff>31324</xdr:rowOff>
    </xdr:from>
    <xdr:to>
      <xdr:col>7</xdr:col>
      <xdr:colOff>1004339</xdr:colOff>
      <xdr:row>14</xdr:row>
      <xdr:rowOff>1202</xdr:rowOff>
    </xdr:to>
    <xdr:sp macro="" textlink="">
      <xdr:nvSpPr>
        <xdr:cNvPr id="4" name="Seta para a esquerda 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8604530" y="2679274"/>
          <a:ext cx="981834" cy="141328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pt-BR"/>
            <a:t>co</a:t>
          </a:r>
        </a:p>
      </xdr:txBody>
    </xdr:sp>
    <xdr:clientData/>
  </xdr:twoCellAnchor>
  <xdr:twoCellAnchor>
    <xdr:from>
      <xdr:col>7</xdr:col>
      <xdr:colOff>23788</xdr:colOff>
      <xdr:row>16</xdr:row>
      <xdr:rowOff>10259</xdr:rowOff>
    </xdr:from>
    <xdr:to>
      <xdr:col>7</xdr:col>
      <xdr:colOff>1005622</xdr:colOff>
      <xdr:row>16</xdr:row>
      <xdr:rowOff>149470</xdr:rowOff>
    </xdr:to>
    <xdr:sp macro="" textlink="">
      <xdr:nvSpPr>
        <xdr:cNvPr id="5" name="Seta para a esquerda 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8605813" y="3172559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21165</xdr:colOff>
      <xdr:row>14</xdr:row>
      <xdr:rowOff>21166</xdr:rowOff>
    </xdr:from>
    <xdr:to>
      <xdr:col>7</xdr:col>
      <xdr:colOff>1002999</xdr:colOff>
      <xdr:row>14</xdr:row>
      <xdr:rowOff>160377</xdr:rowOff>
    </xdr:to>
    <xdr:sp macro="" textlink="">
      <xdr:nvSpPr>
        <xdr:cNvPr id="6" name="Seta para a esquerda 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8603190" y="2840566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pt-BR"/>
            <a:t>co</a:t>
          </a:r>
        </a:p>
      </xdr:txBody>
    </xdr:sp>
    <xdr:clientData/>
  </xdr:twoCellAnchor>
  <xdr:oneCellAnchor>
    <xdr:from>
      <xdr:col>2</xdr:col>
      <xdr:colOff>1394809</xdr:colOff>
      <xdr:row>29</xdr:row>
      <xdr:rowOff>15875</xdr:rowOff>
    </xdr:from>
    <xdr:ext cx="3345468" cy="44121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775934" y="5816600"/>
              <a:ext cx="3345468" cy="4412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800" i="0">
                  <a:latin typeface="Arial" panose="020B0604020202020204" pitchFamily="34" charset="0"/>
                  <a:cs typeface="Arial" panose="020B0604020202020204" pitchFamily="34" charset="0"/>
                </a:rPr>
                <a:t>BDI</a:t>
              </a:r>
              <a14:m>
                <m:oMath xmlns:m="http://schemas.openxmlformats.org/officeDocument/2006/math">
                  <m:r>
                    <a:rPr lang="pt-BR" sz="1800" i="0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pt-BR" sz="18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BR" sz="1800" b="0" i="0">
                          <a:latin typeface="Cambria Math" panose="02040503050406030204" pitchFamily="18" charset="0"/>
                        </a:rPr>
                        <m:t>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AC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R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S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G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DF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L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</m:t>
                      </m:r>
                    </m:num>
                    <m:den>
                      <m:r>
                        <a:rPr lang="pt-BR" sz="1800" b="0" i="0">
                          <a:latin typeface="Cambria Math" panose="02040503050406030204" pitchFamily="18" charset="0"/>
                        </a:rPr>
                        <m:t>(1−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I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</m:t>
                      </m:r>
                    </m:den>
                  </m:f>
                  <m:r>
                    <a:rPr lang="pt-BR" sz="1800" b="0" i="0">
                      <a:latin typeface="Cambria Math" panose="02040503050406030204" pitchFamily="18" charset="0"/>
                    </a:rPr>
                    <m:t>−1</m:t>
                  </m:r>
                </m:oMath>
              </a14:m>
              <a:endParaRPr lang="pt-BR" sz="18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775934" y="5816600"/>
              <a:ext cx="3345468" cy="4412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800" i="0">
                  <a:latin typeface="Arial" panose="020B0604020202020204" pitchFamily="34" charset="0"/>
                  <a:cs typeface="Arial" panose="020B0604020202020204" pitchFamily="34" charset="0"/>
                </a:rPr>
                <a:t>BDI</a:t>
              </a:r>
              <a:r>
                <a:rPr lang="pt-BR" sz="1800" i="0">
                  <a:latin typeface="Cambria Math" panose="02040503050406030204" pitchFamily="18" charset="0"/>
                </a:rPr>
                <a:t>=(</a:t>
              </a:r>
              <a:r>
                <a:rPr lang="pt-BR" sz="1800" b="0" i="0">
                  <a:latin typeface="Cambria Math" panose="02040503050406030204" pitchFamily="18" charset="0"/>
                </a:rPr>
                <a:t>(1+AC+R+S+G)(1+DF)(1+L))/((1−I))−1</a:t>
              </a:r>
              <a:endParaRPr lang="pt-BR" sz="18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5%20N&#218;CLEO%20AVAN&#199;ADO%20DE%20CAPACITA&#199;&#195;O/APIAC&#193;S/004%20-%20PLANILHA%20DE%20MEDI&#199;&#195;O/Planilha%20Or&#231;amentaria%20Apiacas%20REV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5%20N&#218;CLEO%20AVAN&#199;ADO%20DE%20CAPACITA&#199;&#195;O/NOVA%20CANA&#195;%20DO%20NORTE/004%20-%20PLANILHAS/PLanilha%20Projet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05%20N&#218;CLEO%20AVAN&#199;ADO%20DE%20CAPACITA&#199;&#195;O/NOVA%20CANA&#195;%20DO%20NORTE/004%20-%20PLANILHAS/PLANILHA%20OR&#199;AMENT&#193;RIA%20-%20NOVA%20CANA&#195;%20DO%20NORTE%20-%20%20LICITA&#199;&#195;O%20-%20Des%2011.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05%20N&#218;CLEO%20AVAN&#199;ADO%20DE%20CAPACITA&#199;&#195;O/NOVA%20CANA&#195;%20DO%20NORTE/004%20-%20PLANILHAS/NAC%20-%20PLANILHA%20OR&#199;AMENT&#193;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 Referência"/>
      <sheetName val="Composição"/>
      <sheetName val="COTAÇÃO"/>
      <sheetName val="Muro+Gradil"/>
      <sheetName val="Pilares"/>
      <sheetName val="Vigas Cobertura"/>
      <sheetName val="Vigas Cinta"/>
      <sheetName val="Total Aço"/>
      <sheetName val="Concreto e Forma"/>
      <sheetName val="Chapisco-laje-reboco-piso"/>
      <sheetName val="Portas e Janelas"/>
      <sheetName val="Granito"/>
      <sheetName val="Alvenaria"/>
      <sheetName val="Placa da Obra"/>
      <sheetName val="Cobertura"/>
      <sheetName val="spda"/>
    </sheetNames>
    <sheetDataSet>
      <sheetData sheetId="0"/>
      <sheetData sheetId="1">
        <row r="189">
          <cell r="C189" t="str">
            <v>M²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MENTO"/>
      <sheetName val="COMPOSIÇÕES"/>
      <sheetName val="MEMORIAL CALC."/>
      <sheetName val="CRONOGRAMA"/>
      <sheetName val="BDI"/>
      <sheetName val="SOLUM"/>
    </sheetNames>
    <sheetDataSet>
      <sheetData sheetId="0">
        <row r="6">
          <cell r="B6" t="str">
            <v>OBRA DO SENAR NOVA CANAÃ DO NORTE</v>
          </cell>
          <cell r="C6" t="str">
            <v>REF.:</v>
          </cell>
        </row>
        <row r="7">
          <cell r="B7" t="str">
            <v>AV. SÃO PAULO ESQ. COM AV. GOVERNADOR DANTE DE OLIVEIRA, N06, Q62</v>
          </cell>
        </row>
        <row r="8">
          <cell r="B8" t="str">
            <v>NOVA CANAÃ DO NORTE - MT</v>
          </cell>
          <cell r="C8" t="str">
            <v>BDI:</v>
          </cell>
        </row>
        <row r="9">
          <cell r="B9" t="str">
            <v>OBRA NOVA</v>
          </cell>
        </row>
        <row r="30">
          <cell r="C30">
            <v>637324.04000000015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ilha Orçamentária"/>
      <sheetName val="Composições"/>
      <sheetName val="Cronograma"/>
      <sheetName val="BDI"/>
    </sheetNames>
    <sheetDataSet>
      <sheetData sheetId="0">
        <row r="6">
          <cell r="D6" t="str">
            <v>SINAPI-MT
DES_NOV/2021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MENTO"/>
      <sheetName val="COMPOSIÇÕES"/>
      <sheetName val="MEMORIAL CALC."/>
      <sheetName val="CRONOGRAMA"/>
      <sheetName val="BDI"/>
      <sheetName val="SOLUM"/>
    </sheetNames>
    <sheetDataSet>
      <sheetData sheetId="0">
        <row r="6">
          <cell r="B6" t="str">
            <v>OBRA DO SENAR NOVA CANAÃ DO NORTE</v>
          </cell>
        </row>
        <row r="8">
          <cell r="C8" t="str">
            <v>BDI:</v>
          </cell>
        </row>
      </sheetData>
      <sheetData sheetId="1">
        <row r="11">
          <cell r="A11" t="str">
            <v>1.0</v>
          </cell>
        </row>
      </sheetData>
      <sheetData sheetId="2"/>
      <sheetData sheetId="3"/>
      <sheetData sheetId="4"/>
      <sheetData sheetId="5">
        <row r="25">
          <cell r="G25">
            <v>28.347674918197008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H88"/>
  <sheetViews>
    <sheetView tabSelected="1" topLeftCell="A73" zoomScaleNormal="100" workbookViewId="0">
      <selection activeCell="B81" sqref="B81"/>
    </sheetView>
  </sheetViews>
  <sheetFormatPr defaultColWidth="9.140625" defaultRowHeight="14.25" x14ac:dyDescent="0.2"/>
  <cols>
    <col min="1" max="1" width="4.85546875" style="55" customWidth="1"/>
    <col min="2" max="2" width="7.140625" style="150" customWidth="1"/>
    <col min="3" max="3" width="19.140625" style="56" customWidth="1"/>
    <col min="4" max="4" width="88.85546875" style="57" customWidth="1"/>
    <col min="5" max="5" width="5.7109375" style="56" customWidth="1"/>
    <col min="6" max="6" width="10.85546875" style="56" customWidth="1"/>
    <col min="7" max="7" width="20.140625" style="58" bestFit="1" customWidth="1"/>
    <col min="8" max="8" width="16.7109375" style="59" customWidth="1"/>
    <col min="9" max="9" width="25.5703125" style="59" customWidth="1"/>
    <col min="10" max="10" width="1.140625" style="55" customWidth="1"/>
    <col min="11" max="11" width="21.85546875" style="56" customWidth="1"/>
    <col min="12" max="16384" width="9.140625" style="56"/>
  </cols>
  <sheetData>
    <row r="1" spans="1:34" ht="15" thickBot="1" x14ac:dyDescent="0.25"/>
    <row r="2" spans="1:34" ht="27" customHeight="1" x14ac:dyDescent="0.2">
      <c r="B2" s="253" t="s">
        <v>145</v>
      </c>
      <c r="C2" s="254"/>
      <c r="D2" s="254"/>
      <c r="E2" s="254"/>
      <c r="F2" s="254"/>
      <c r="G2" s="254"/>
      <c r="H2" s="255"/>
      <c r="I2" s="248" t="s">
        <v>16</v>
      </c>
      <c r="J2" s="250"/>
    </row>
    <row r="3" spans="1:34" ht="27" customHeight="1" thickBot="1" x14ac:dyDescent="0.25">
      <c r="B3" s="256"/>
      <c r="C3" s="257"/>
      <c r="D3" s="257"/>
      <c r="E3" s="257"/>
      <c r="F3" s="257"/>
      <c r="G3" s="257"/>
      <c r="H3" s="258"/>
      <c r="I3" s="249"/>
      <c r="J3" s="250"/>
    </row>
    <row r="4" spans="1:34" ht="15" customHeight="1" x14ac:dyDescent="0.2">
      <c r="B4" s="256"/>
      <c r="C4" s="257"/>
      <c r="D4" s="257"/>
      <c r="E4" s="257"/>
      <c r="F4" s="257"/>
      <c r="G4" s="257"/>
      <c r="H4" s="258"/>
      <c r="I4" s="251" t="s">
        <v>165</v>
      </c>
      <c r="J4" s="60">
        <v>0.24510000000000001</v>
      </c>
    </row>
    <row r="5" spans="1:34" ht="33" customHeight="1" thickBot="1" x14ac:dyDescent="0.25">
      <c r="B5" s="259"/>
      <c r="C5" s="260"/>
      <c r="D5" s="260"/>
      <c r="E5" s="260"/>
      <c r="F5" s="260"/>
      <c r="G5" s="260"/>
      <c r="H5" s="261"/>
      <c r="I5" s="252"/>
      <c r="J5" s="61"/>
    </row>
    <row r="6" spans="1:34" ht="6" customHeight="1" thickBot="1" x14ac:dyDescent="0.25">
      <c r="B6" s="151"/>
      <c r="C6" s="55"/>
      <c r="D6" s="62"/>
      <c r="E6" s="63"/>
      <c r="F6" s="63"/>
      <c r="G6" s="64"/>
      <c r="H6" s="65"/>
      <c r="I6" s="65"/>
    </row>
    <row r="7" spans="1:34" ht="45.75" customHeight="1" thickBot="1" x14ac:dyDescent="0.25">
      <c r="B7" s="66" t="s">
        <v>2</v>
      </c>
      <c r="C7" s="66" t="s">
        <v>8</v>
      </c>
      <c r="D7" s="67" t="s">
        <v>3</v>
      </c>
      <c r="E7" s="68" t="s">
        <v>4</v>
      </c>
      <c r="F7" s="68" t="s">
        <v>35</v>
      </c>
      <c r="G7" s="69" t="s">
        <v>37</v>
      </c>
      <c r="H7" s="70" t="s">
        <v>127</v>
      </c>
      <c r="I7" s="71" t="s">
        <v>5</v>
      </c>
      <c r="J7" s="72"/>
    </row>
    <row r="8" spans="1:34" ht="15" x14ac:dyDescent="0.25">
      <c r="B8" s="73">
        <v>1</v>
      </c>
      <c r="C8" s="74"/>
      <c r="D8" s="75" t="s">
        <v>34</v>
      </c>
      <c r="E8" s="76"/>
      <c r="F8" s="76"/>
      <c r="G8" s="77"/>
      <c r="H8" s="78"/>
      <c r="I8" s="79"/>
    </row>
    <row r="9" spans="1:34" s="55" customFormat="1" ht="16.5" customHeight="1" x14ac:dyDescent="0.2">
      <c r="B9" s="80" t="s">
        <v>100</v>
      </c>
      <c r="C9" s="80">
        <v>90777</v>
      </c>
      <c r="D9" s="103" t="s">
        <v>164</v>
      </c>
      <c r="E9" s="80" t="s">
        <v>24</v>
      </c>
      <c r="F9" s="81">
        <v>24</v>
      </c>
      <c r="G9" s="104">
        <v>81.02</v>
      </c>
      <c r="H9" s="82">
        <f>G9*1.2835</f>
        <v>103.98917</v>
      </c>
      <c r="I9" s="104">
        <f>TRUNC(H9*F9,2)</f>
        <v>2495.7399999999998</v>
      </c>
    </row>
    <row r="10" spans="1:34" s="55" customFormat="1" ht="16.5" customHeight="1" x14ac:dyDescent="0.2">
      <c r="B10" s="80" t="s">
        <v>39</v>
      </c>
      <c r="C10" s="159">
        <v>90776</v>
      </c>
      <c r="D10" s="105" t="s">
        <v>36</v>
      </c>
      <c r="E10" s="80" t="s">
        <v>24</v>
      </c>
      <c r="F10" s="81">
        <v>84</v>
      </c>
      <c r="G10" s="104">
        <v>20.72</v>
      </c>
      <c r="H10" s="82">
        <f>G10*1.2835</f>
        <v>26.59412</v>
      </c>
      <c r="I10" s="104">
        <f>TRUNC(H10*F10,2)</f>
        <v>2233.9</v>
      </c>
    </row>
    <row r="11" spans="1:34" s="87" customFormat="1" ht="15" x14ac:dyDescent="0.2">
      <c r="A11" s="55"/>
      <c r="B11" s="83"/>
      <c r="C11" s="112"/>
      <c r="D11" s="113"/>
      <c r="E11" s="114"/>
      <c r="F11" s="84"/>
      <c r="G11" s="85" t="s">
        <v>1</v>
      </c>
      <c r="H11" s="86"/>
      <c r="I11" s="86">
        <f>SUM(I9:I10)</f>
        <v>4729.6399999999994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</row>
    <row r="12" spans="1:34" s="55" customFormat="1" ht="15" x14ac:dyDescent="0.2">
      <c r="B12" s="88"/>
      <c r="C12" s="115"/>
      <c r="D12" s="116"/>
      <c r="E12" s="117"/>
      <c r="F12" s="89"/>
      <c r="G12" s="90"/>
      <c r="H12" s="91"/>
      <c r="I12" s="91"/>
    </row>
    <row r="13" spans="1:34" ht="15" x14ac:dyDescent="0.25">
      <c r="A13" s="56"/>
      <c r="B13" s="92">
        <v>2</v>
      </c>
      <c r="C13" s="93"/>
      <c r="D13" s="94" t="s">
        <v>72</v>
      </c>
      <c r="E13" s="95"/>
      <c r="F13" s="93"/>
      <c r="G13" s="96"/>
      <c r="H13" s="96"/>
      <c r="I13" s="96"/>
      <c r="J13" s="56"/>
    </row>
    <row r="14" spans="1:34" s="55" customFormat="1" ht="17.25" customHeight="1" x14ac:dyDescent="0.2">
      <c r="B14" s="80" t="s">
        <v>40</v>
      </c>
      <c r="C14" s="243">
        <f>Composições!F2</f>
        <v>477.54999999999995</v>
      </c>
      <c r="D14" s="106" t="s">
        <v>60</v>
      </c>
      <c r="E14" s="107" t="s">
        <v>25</v>
      </c>
      <c r="F14" s="108">
        <v>1</v>
      </c>
      <c r="G14" s="104">
        <f>Composições!F2</f>
        <v>477.54999999999995</v>
      </c>
      <c r="H14" s="82">
        <f>G14*1.2835</f>
        <v>612.93542500000001</v>
      </c>
      <c r="I14" s="104">
        <f t="shared" ref="I14:I16" si="0">TRUNC(H14*F14,2)</f>
        <v>612.92999999999995</v>
      </c>
    </row>
    <row r="15" spans="1:34" s="55" customFormat="1" ht="28.5" x14ac:dyDescent="0.2">
      <c r="B15" s="80" t="s">
        <v>57</v>
      </c>
      <c r="C15" s="80" t="s">
        <v>32</v>
      </c>
      <c r="D15" s="106" t="s">
        <v>61</v>
      </c>
      <c r="E15" s="80" t="s">
        <v>0</v>
      </c>
      <c r="F15" s="108">
        <v>1</v>
      </c>
      <c r="G15" s="104">
        <f>Composições!F6</f>
        <v>299.96400000000006</v>
      </c>
      <c r="H15" s="82">
        <f>G15*1.2835</f>
        <v>385.00379400000008</v>
      </c>
      <c r="I15" s="104">
        <f t="shared" si="0"/>
        <v>385</v>
      </c>
    </row>
    <row r="16" spans="1:34" s="55" customFormat="1" ht="15" customHeight="1" x14ac:dyDescent="0.2">
      <c r="B16" s="80" t="s">
        <v>87</v>
      </c>
      <c r="C16" s="80" t="s">
        <v>58</v>
      </c>
      <c r="D16" s="106" t="s">
        <v>59</v>
      </c>
      <c r="E16" s="80" t="s">
        <v>25</v>
      </c>
      <c r="F16" s="108">
        <v>2</v>
      </c>
      <c r="G16" s="104">
        <v>350</v>
      </c>
      <c r="H16" s="82">
        <f>G16*1.2835</f>
        <v>449.22500000000002</v>
      </c>
      <c r="I16" s="104">
        <f t="shared" si="0"/>
        <v>898.45</v>
      </c>
    </row>
    <row r="17" spans="1:34" ht="15" customHeight="1" x14ac:dyDescent="0.2">
      <c r="A17" s="56"/>
      <c r="B17" s="83"/>
      <c r="C17" s="118"/>
      <c r="D17" s="119"/>
      <c r="E17" s="114"/>
      <c r="F17" s="120"/>
      <c r="G17" s="85" t="s">
        <v>1</v>
      </c>
      <c r="H17" s="121"/>
      <c r="I17" s="86">
        <f>SUM(I14:I16)</f>
        <v>1896.38</v>
      </c>
      <c r="J17" s="56"/>
    </row>
    <row r="18" spans="1:34" ht="15" customHeight="1" x14ac:dyDescent="0.2">
      <c r="A18" s="56"/>
      <c r="B18" s="122"/>
      <c r="C18" s="123"/>
      <c r="D18" s="124"/>
      <c r="E18" s="125"/>
      <c r="F18" s="126"/>
      <c r="G18" s="127"/>
      <c r="H18" s="128"/>
      <c r="I18" s="129"/>
      <c r="J18" s="56"/>
    </row>
    <row r="19" spans="1:34" ht="15" x14ac:dyDescent="0.25">
      <c r="B19" s="73">
        <v>3</v>
      </c>
      <c r="C19" s="74"/>
      <c r="D19" s="75" t="s">
        <v>49</v>
      </c>
      <c r="E19" s="76"/>
      <c r="F19" s="76"/>
      <c r="G19" s="77"/>
      <c r="H19" s="78"/>
      <c r="I19" s="79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</row>
    <row r="20" spans="1:34" s="55" customFormat="1" x14ac:dyDescent="0.2">
      <c r="B20" s="80" t="s">
        <v>41</v>
      </c>
      <c r="C20" s="80" t="s">
        <v>79</v>
      </c>
      <c r="D20" s="110" t="s">
        <v>50</v>
      </c>
      <c r="E20" s="80" t="s">
        <v>25</v>
      </c>
      <c r="F20" s="81">
        <v>1</v>
      </c>
      <c r="G20" s="104">
        <f>Composições!F13</f>
        <v>776.92</v>
      </c>
      <c r="H20" s="82">
        <f>G20*1.2835</f>
        <v>997.17682000000002</v>
      </c>
      <c r="I20" s="104">
        <f t="shared" ref="I20:I21" si="1">TRUNC(H20*F20,2)</f>
        <v>997.17</v>
      </c>
    </row>
    <row r="21" spans="1:34" s="55" customFormat="1" x14ac:dyDescent="0.2">
      <c r="B21" s="80" t="s">
        <v>38</v>
      </c>
      <c r="C21" s="111" t="s">
        <v>73</v>
      </c>
      <c r="D21" s="110" t="s">
        <v>53</v>
      </c>
      <c r="E21" s="80" t="s">
        <v>25</v>
      </c>
      <c r="F21" s="81">
        <v>1</v>
      </c>
      <c r="G21" s="104">
        <f>Composições!F17</f>
        <v>776.92</v>
      </c>
      <c r="H21" s="82">
        <f>G21*1.2835</f>
        <v>997.17682000000002</v>
      </c>
      <c r="I21" s="104">
        <f t="shared" si="1"/>
        <v>997.17</v>
      </c>
    </row>
    <row r="22" spans="1:34" s="87" customFormat="1" ht="15" x14ac:dyDescent="0.2">
      <c r="A22" s="55"/>
      <c r="B22" s="83"/>
      <c r="C22" s="112"/>
      <c r="D22" s="130"/>
      <c r="E22" s="131"/>
      <c r="F22" s="132"/>
      <c r="G22" s="109" t="s">
        <v>1</v>
      </c>
      <c r="H22" s="133"/>
      <c r="I22" s="86">
        <f>SUM(I20:I21)</f>
        <v>1994.34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</row>
    <row r="23" spans="1:34" s="87" customFormat="1" ht="15" customHeight="1" x14ac:dyDescent="0.2">
      <c r="A23" s="55"/>
      <c r="B23" s="245"/>
      <c r="C23" s="246"/>
      <c r="D23" s="246"/>
      <c r="E23" s="246"/>
      <c r="F23" s="246"/>
      <c r="G23" s="246"/>
      <c r="H23" s="246"/>
      <c r="I23" s="247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</row>
    <row r="24" spans="1:34" ht="15" x14ac:dyDescent="0.25">
      <c r="B24" s="73">
        <v>4</v>
      </c>
      <c r="C24" s="74"/>
      <c r="D24" s="134" t="s">
        <v>222</v>
      </c>
      <c r="E24" s="135"/>
      <c r="F24" s="135"/>
      <c r="G24" s="136"/>
      <c r="H24" s="137"/>
      <c r="I24" s="138"/>
    </row>
    <row r="25" spans="1:34" s="55" customFormat="1" ht="17.25" customHeight="1" x14ac:dyDescent="0.2">
      <c r="B25" s="80" t="s">
        <v>42</v>
      </c>
      <c r="C25" s="139" t="s">
        <v>78</v>
      </c>
      <c r="D25" s="110" t="str">
        <f>Composições!B21</f>
        <v>REMOÇÃO DE RUFO, CALHAS E PINGADEIRA SEM REAPROVEITAMENTO</v>
      </c>
      <c r="E25" s="80" t="s">
        <v>6</v>
      </c>
      <c r="F25" s="81">
        <f>Quantitativos!D7+Quantitativos!D8+Quantitativos!D9</f>
        <v>493.73</v>
      </c>
      <c r="G25" s="104">
        <f>Composições!F21</f>
        <v>3.8659999999999997</v>
      </c>
      <c r="H25" s="82">
        <f>G25*1.2835</f>
        <v>4.9620109999999995</v>
      </c>
      <c r="I25" s="104">
        <f t="shared" ref="I25:I32" si="2">TRUNC(H25*F25,2)</f>
        <v>2449.89</v>
      </c>
    </row>
    <row r="26" spans="1:34" s="55" customFormat="1" ht="28.5" x14ac:dyDescent="0.2">
      <c r="B26" s="80" t="s">
        <v>75</v>
      </c>
      <c r="C26" s="139">
        <v>97647</v>
      </c>
      <c r="D26" s="110" t="s">
        <v>140</v>
      </c>
      <c r="E26" s="80" t="s">
        <v>0</v>
      </c>
      <c r="F26" s="81">
        <v>134.9</v>
      </c>
      <c r="G26" s="104">
        <v>2.4500000000000002</v>
      </c>
      <c r="H26" s="82">
        <f t="shared" ref="H26:H32" si="3">G26*1.2835</f>
        <v>3.1445750000000006</v>
      </c>
      <c r="I26" s="104">
        <f t="shared" si="2"/>
        <v>424.2</v>
      </c>
    </row>
    <row r="27" spans="1:34" s="55" customFormat="1" x14ac:dyDescent="0.2">
      <c r="B27" s="80" t="s">
        <v>146</v>
      </c>
      <c r="C27" s="139" t="s">
        <v>111</v>
      </c>
      <c r="D27" s="110" t="str">
        <f>Composições!B32</f>
        <v xml:space="preserve">RETIRADA E RECOLOCAÇÃO DE TRAMA METÁLICA </v>
      </c>
      <c r="E27" s="80" t="s">
        <v>0</v>
      </c>
      <c r="F27" s="81">
        <f>Quantitativos!D6</f>
        <v>23.3</v>
      </c>
      <c r="G27" s="104">
        <f>Composições!F32</f>
        <v>36.411000000000001</v>
      </c>
      <c r="H27" s="82">
        <f t="shared" si="3"/>
        <v>46.733518500000002</v>
      </c>
      <c r="I27" s="104">
        <f t="shared" si="2"/>
        <v>1088.8900000000001</v>
      </c>
    </row>
    <row r="28" spans="1:34" s="55" customFormat="1" ht="42.75" x14ac:dyDescent="0.2">
      <c r="B28" s="80" t="s">
        <v>88</v>
      </c>
      <c r="C28" s="140">
        <v>94210</v>
      </c>
      <c r="D28" s="110" t="s">
        <v>141</v>
      </c>
      <c r="E28" s="80" t="s">
        <v>0</v>
      </c>
      <c r="F28" s="81">
        <v>134.9</v>
      </c>
      <c r="G28" s="104">
        <v>48.08</v>
      </c>
      <c r="H28" s="82">
        <f t="shared" si="3"/>
        <v>61.710680000000004</v>
      </c>
      <c r="I28" s="104">
        <f t="shared" si="2"/>
        <v>8324.77</v>
      </c>
    </row>
    <row r="29" spans="1:34" s="55" customFormat="1" ht="28.5" x14ac:dyDescent="0.2">
      <c r="B29" s="80" t="s">
        <v>89</v>
      </c>
      <c r="C29" s="80">
        <v>94228</v>
      </c>
      <c r="D29" s="141" t="s">
        <v>17</v>
      </c>
      <c r="E29" s="80" t="s">
        <v>6</v>
      </c>
      <c r="F29" s="81">
        <v>25.18</v>
      </c>
      <c r="G29" s="142">
        <v>92.93</v>
      </c>
      <c r="H29" s="82">
        <f t="shared" si="3"/>
        <v>119.27565500000001</v>
      </c>
      <c r="I29" s="104">
        <f t="shared" si="2"/>
        <v>3003.36</v>
      </c>
    </row>
    <row r="30" spans="1:34" s="55" customFormat="1" ht="28.5" x14ac:dyDescent="0.2">
      <c r="B30" s="80" t="s">
        <v>90</v>
      </c>
      <c r="C30" s="80">
        <v>94231</v>
      </c>
      <c r="D30" s="141" t="s">
        <v>18</v>
      </c>
      <c r="E30" s="80" t="s">
        <v>6</v>
      </c>
      <c r="F30" s="81">
        <v>63.85</v>
      </c>
      <c r="G30" s="142">
        <v>54.26</v>
      </c>
      <c r="H30" s="82">
        <f t="shared" si="3"/>
        <v>69.642710000000008</v>
      </c>
      <c r="I30" s="104">
        <f t="shared" si="2"/>
        <v>4446.68</v>
      </c>
    </row>
    <row r="31" spans="1:34" s="55" customFormat="1" ht="28.5" x14ac:dyDescent="0.2">
      <c r="B31" s="80" t="s">
        <v>143</v>
      </c>
      <c r="C31" s="80" t="s">
        <v>161</v>
      </c>
      <c r="D31" s="143" t="s">
        <v>147</v>
      </c>
      <c r="E31" s="144" t="s">
        <v>0</v>
      </c>
      <c r="F31" s="145">
        <v>80.94</v>
      </c>
      <c r="G31" s="146">
        <f>Composições!F65</f>
        <v>51.980041000000007</v>
      </c>
      <c r="H31" s="82">
        <f t="shared" si="3"/>
        <v>66.71638262350001</v>
      </c>
      <c r="I31" s="104">
        <f t="shared" si="2"/>
        <v>5400.02</v>
      </c>
    </row>
    <row r="32" spans="1:34" s="55" customFormat="1" ht="28.5" x14ac:dyDescent="0.2">
      <c r="B32" s="80" t="s">
        <v>144</v>
      </c>
      <c r="C32" s="80">
        <v>96114</v>
      </c>
      <c r="D32" s="143" t="s">
        <v>77</v>
      </c>
      <c r="E32" s="144" t="s">
        <v>0</v>
      </c>
      <c r="F32" s="145">
        <f>Quantitativos!D10</f>
        <v>6.25</v>
      </c>
      <c r="G32" s="146">
        <v>66.88</v>
      </c>
      <c r="H32" s="82">
        <f t="shared" si="3"/>
        <v>85.840479999999999</v>
      </c>
      <c r="I32" s="104">
        <f t="shared" si="2"/>
        <v>536.5</v>
      </c>
    </row>
    <row r="33" spans="2:9" ht="15" x14ac:dyDescent="0.2">
      <c r="B33" s="74"/>
      <c r="C33" s="147"/>
      <c r="D33" s="147"/>
      <c r="E33" s="147"/>
      <c r="F33" s="147"/>
      <c r="G33" s="85" t="s">
        <v>1</v>
      </c>
      <c r="H33" s="148"/>
      <c r="I33" s="86">
        <f>SUM(I25:I32)</f>
        <v>25674.31</v>
      </c>
    </row>
    <row r="34" spans="2:9" ht="15" x14ac:dyDescent="0.2">
      <c r="B34" s="152"/>
      <c r="C34" s="97"/>
      <c r="D34" s="97"/>
      <c r="E34" s="97"/>
      <c r="F34" s="97"/>
      <c r="G34" s="98"/>
      <c r="H34" s="99"/>
      <c r="I34" s="100"/>
    </row>
    <row r="35" spans="2:9" ht="15" x14ac:dyDescent="0.25">
      <c r="B35" s="73">
        <v>5</v>
      </c>
      <c r="C35" s="73"/>
      <c r="D35" s="160" t="s">
        <v>157</v>
      </c>
      <c r="E35" s="161"/>
      <c r="F35" s="161"/>
      <c r="G35" s="162"/>
      <c r="H35" s="163"/>
      <c r="I35" s="163"/>
    </row>
    <row r="36" spans="2:9" x14ac:dyDescent="0.2">
      <c r="B36" s="80" t="s">
        <v>133</v>
      </c>
      <c r="C36" s="139" t="s">
        <v>162</v>
      </c>
      <c r="D36" s="110" t="s">
        <v>160</v>
      </c>
      <c r="E36" s="80" t="s">
        <v>0</v>
      </c>
      <c r="F36" s="81">
        <f>5*1.5</f>
        <v>7.5</v>
      </c>
      <c r="G36" s="104">
        <f>Composições!F75</f>
        <v>2.1558000000000002</v>
      </c>
      <c r="H36" s="82">
        <f>G36*1.2835</f>
        <v>2.7669693000000004</v>
      </c>
      <c r="I36" s="104">
        <f t="shared" ref="I36:I38" si="4">TRUNC(H36*F36,2)</f>
        <v>20.75</v>
      </c>
    </row>
    <row r="37" spans="2:9" ht="42.75" x14ac:dyDescent="0.2">
      <c r="B37" s="80" t="s">
        <v>134</v>
      </c>
      <c r="C37" s="80">
        <v>87893</v>
      </c>
      <c r="D37" s="106" t="s">
        <v>158</v>
      </c>
      <c r="E37" s="80" t="s">
        <v>0</v>
      </c>
      <c r="F37" s="81">
        <f t="shared" ref="F37:F38" si="5">2.5*1.5</f>
        <v>3.75</v>
      </c>
      <c r="G37" s="104">
        <v>5.51</v>
      </c>
      <c r="H37" s="82">
        <f t="shared" ref="H37:H38" si="6">G37*1.2835</f>
        <v>7.0720850000000004</v>
      </c>
      <c r="I37" s="104">
        <f t="shared" si="4"/>
        <v>26.52</v>
      </c>
    </row>
    <row r="38" spans="2:9" ht="42.75" x14ac:dyDescent="0.2">
      <c r="B38" s="80" t="s">
        <v>135</v>
      </c>
      <c r="C38" s="80">
        <v>89173</v>
      </c>
      <c r="D38" s="106" t="s">
        <v>159</v>
      </c>
      <c r="E38" s="80" t="s">
        <v>0</v>
      </c>
      <c r="F38" s="81">
        <f t="shared" si="5"/>
        <v>3.75</v>
      </c>
      <c r="G38" s="104">
        <v>27.56</v>
      </c>
      <c r="H38" s="82">
        <f t="shared" si="6"/>
        <v>35.373260000000002</v>
      </c>
      <c r="I38" s="104">
        <f t="shared" si="4"/>
        <v>132.63999999999999</v>
      </c>
    </row>
    <row r="39" spans="2:9" ht="15" x14ac:dyDescent="0.2">
      <c r="B39" s="74"/>
      <c r="C39" s="147"/>
      <c r="D39" s="147"/>
      <c r="E39" s="147"/>
      <c r="F39" s="147"/>
      <c r="G39" s="85" t="s">
        <v>1</v>
      </c>
      <c r="H39" s="148"/>
      <c r="I39" s="86">
        <f>SUM(I36:I38)</f>
        <v>179.90999999999997</v>
      </c>
    </row>
    <row r="40" spans="2:9" ht="15" x14ac:dyDescent="0.2">
      <c r="B40" s="157"/>
      <c r="C40" s="153"/>
      <c r="D40" s="158"/>
      <c r="E40" s="153"/>
      <c r="F40" s="153"/>
      <c r="G40" s="154"/>
      <c r="H40" s="155"/>
      <c r="I40" s="156"/>
    </row>
    <row r="41" spans="2:9" ht="15" x14ac:dyDescent="0.25">
      <c r="B41" s="164">
        <v>6</v>
      </c>
      <c r="C41" s="165"/>
      <c r="D41" s="166" t="s">
        <v>184</v>
      </c>
      <c r="E41" s="166"/>
      <c r="F41" s="166"/>
      <c r="G41" s="166"/>
      <c r="H41" s="166"/>
      <c r="I41" s="167"/>
    </row>
    <row r="42" spans="2:9" x14ac:dyDescent="0.2">
      <c r="B42" s="168" t="s">
        <v>43</v>
      </c>
      <c r="C42" s="168" t="s">
        <v>178</v>
      </c>
      <c r="D42" s="169" t="s">
        <v>166</v>
      </c>
      <c r="E42" s="170" t="s">
        <v>0</v>
      </c>
      <c r="F42" s="171">
        <f>(F43+F44)*0.4</f>
        <v>100.316</v>
      </c>
      <c r="G42" s="172">
        <f>Composições!F78</f>
        <v>4.7460000000000004</v>
      </c>
      <c r="H42" s="173">
        <f t="shared" ref="H42" si="7">G42*1.2555</f>
        <v>5.958603000000001</v>
      </c>
      <c r="I42" s="104">
        <f t="shared" ref="I42:I50" si="8">TRUNC(H42*F42,2)</f>
        <v>597.74</v>
      </c>
    </row>
    <row r="43" spans="2:9" x14ac:dyDescent="0.2">
      <c r="B43" s="168" t="s">
        <v>44</v>
      </c>
      <c r="C43" s="168">
        <v>88485</v>
      </c>
      <c r="D43" s="169" t="s">
        <v>167</v>
      </c>
      <c r="E43" s="170" t="s">
        <v>0</v>
      </c>
      <c r="F43" s="171">
        <v>118.32</v>
      </c>
      <c r="G43" s="172">
        <v>1.55</v>
      </c>
      <c r="H43" s="178">
        <f t="shared" ref="H43:H50" si="9">TRUNC(G43*$J$4+G43,2)</f>
        <v>1.92</v>
      </c>
      <c r="I43" s="104">
        <f t="shared" si="8"/>
        <v>227.17</v>
      </c>
    </row>
    <row r="44" spans="2:9" x14ac:dyDescent="0.2">
      <c r="B44" s="168" t="s">
        <v>91</v>
      </c>
      <c r="C44" s="174">
        <v>88496</v>
      </c>
      <c r="D44" s="179" t="s">
        <v>168</v>
      </c>
      <c r="E44" s="170" t="s">
        <v>0</v>
      </c>
      <c r="F44" s="175">
        <v>132.47</v>
      </c>
      <c r="G44" s="176">
        <v>19.84</v>
      </c>
      <c r="H44" s="173">
        <f t="shared" si="9"/>
        <v>24.7</v>
      </c>
      <c r="I44" s="104">
        <f t="shared" si="8"/>
        <v>3272</v>
      </c>
    </row>
    <row r="45" spans="2:9" ht="28.5" x14ac:dyDescent="0.2">
      <c r="B45" s="168" t="s">
        <v>45</v>
      </c>
      <c r="C45" s="174">
        <v>88497</v>
      </c>
      <c r="D45" s="179" t="s">
        <v>169</v>
      </c>
      <c r="E45" s="170" t="s">
        <v>0</v>
      </c>
      <c r="F45" s="175">
        <v>118.38</v>
      </c>
      <c r="G45" s="176">
        <v>11.14</v>
      </c>
      <c r="H45" s="173">
        <f t="shared" si="9"/>
        <v>13.87</v>
      </c>
      <c r="I45" s="104">
        <f t="shared" si="8"/>
        <v>1641.93</v>
      </c>
    </row>
    <row r="46" spans="2:9" x14ac:dyDescent="0.2">
      <c r="B46" s="168" t="s">
        <v>170</v>
      </c>
      <c r="C46" s="174">
        <v>95305</v>
      </c>
      <c r="D46" s="180" t="s">
        <v>171</v>
      </c>
      <c r="E46" s="170" t="s">
        <v>0</v>
      </c>
      <c r="F46" s="175">
        <v>318.62</v>
      </c>
      <c r="G46" s="181">
        <v>11.74</v>
      </c>
      <c r="H46" s="173">
        <f t="shared" si="9"/>
        <v>14.61</v>
      </c>
      <c r="I46" s="104">
        <f t="shared" si="8"/>
        <v>4655.03</v>
      </c>
    </row>
    <row r="47" spans="2:9" ht="28.5" x14ac:dyDescent="0.2">
      <c r="B47" s="168" t="s">
        <v>172</v>
      </c>
      <c r="C47" s="174" t="s">
        <v>182</v>
      </c>
      <c r="D47" s="182" t="s">
        <v>191</v>
      </c>
      <c r="E47" s="174" t="s">
        <v>0</v>
      </c>
      <c r="F47" s="175">
        <v>118.38</v>
      </c>
      <c r="G47" s="176">
        <f>Composições!F81</f>
        <v>10.96582888888889</v>
      </c>
      <c r="H47" s="173">
        <f t="shared" si="9"/>
        <v>13.65</v>
      </c>
      <c r="I47" s="104">
        <f t="shared" si="8"/>
        <v>1615.88</v>
      </c>
    </row>
    <row r="48" spans="2:9" ht="28.5" x14ac:dyDescent="0.2">
      <c r="B48" s="168" t="s">
        <v>174</v>
      </c>
      <c r="C48" s="174">
        <v>88486</v>
      </c>
      <c r="D48" s="179" t="s">
        <v>190</v>
      </c>
      <c r="E48" s="170" t="s">
        <v>0</v>
      </c>
      <c r="F48" s="175">
        <v>132.47</v>
      </c>
      <c r="G48" s="176">
        <v>9.9499999999999993</v>
      </c>
      <c r="H48" s="173">
        <f t="shared" si="9"/>
        <v>12.38</v>
      </c>
      <c r="I48" s="104">
        <f t="shared" si="8"/>
        <v>1639.97</v>
      </c>
    </row>
    <row r="49" spans="2:9" ht="28.5" x14ac:dyDescent="0.2">
      <c r="B49" s="168" t="s">
        <v>175</v>
      </c>
      <c r="C49" s="174" t="s">
        <v>183</v>
      </c>
      <c r="D49" s="182" t="s">
        <v>185</v>
      </c>
      <c r="E49" s="170" t="s">
        <v>0</v>
      </c>
      <c r="F49" s="175">
        <v>148.54</v>
      </c>
      <c r="G49" s="176">
        <f>Composições!F85</f>
        <v>23.959704444444448</v>
      </c>
      <c r="H49" s="173">
        <f t="shared" si="9"/>
        <v>29.83</v>
      </c>
      <c r="I49" s="104">
        <f t="shared" si="8"/>
        <v>4430.9399999999996</v>
      </c>
    </row>
    <row r="50" spans="2:9" ht="28.5" x14ac:dyDescent="0.2">
      <c r="B50" s="168" t="s">
        <v>193</v>
      </c>
      <c r="C50" s="174" t="s">
        <v>192</v>
      </c>
      <c r="D50" s="182" t="s">
        <v>188</v>
      </c>
      <c r="E50" s="183" t="str">
        <f>[1]Composição!C189</f>
        <v>M²</v>
      </c>
      <c r="F50" s="184">
        <v>162.4</v>
      </c>
      <c r="G50" s="185">
        <f>Composições!F90</f>
        <v>30.559704444444449</v>
      </c>
      <c r="H50" s="186">
        <f t="shared" si="9"/>
        <v>38.04</v>
      </c>
      <c r="I50" s="104">
        <f t="shared" si="8"/>
        <v>6177.69</v>
      </c>
    </row>
    <row r="51" spans="2:9" ht="15" x14ac:dyDescent="0.2">
      <c r="B51" s="74"/>
      <c r="C51" s="147"/>
      <c r="D51" s="147"/>
      <c r="E51" s="147"/>
      <c r="F51" s="147"/>
      <c r="G51" s="85" t="s">
        <v>1</v>
      </c>
      <c r="H51" s="148"/>
      <c r="I51" s="86">
        <f>SUM(I42:I50)</f>
        <v>24258.35</v>
      </c>
    </row>
    <row r="52" spans="2:9" ht="15" x14ac:dyDescent="0.2">
      <c r="B52" s="157"/>
      <c r="C52" s="153"/>
      <c r="D52" s="153"/>
      <c r="E52" s="153"/>
      <c r="F52" s="153"/>
      <c r="G52" s="154"/>
      <c r="H52" s="155"/>
      <c r="I52" s="156"/>
    </row>
    <row r="53" spans="2:9" ht="15" x14ac:dyDescent="0.25">
      <c r="B53" s="73">
        <v>7</v>
      </c>
      <c r="C53" s="200"/>
      <c r="D53" s="76" t="s">
        <v>97</v>
      </c>
      <c r="E53" s="76"/>
      <c r="F53" s="76"/>
      <c r="G53" s="76"/>
      <c r="H53" s="76"/>
      <c r="I53" s="201"/>
    </row>
    <row r="54" spans="2:9" s="55" customFormat="1" ht="28.5" x14ac:dyDescent="0.2">
      <c r="B54" s="144" t="s">
        <v>194</v>
      </c>
      <c r="C54" s="197">
        <v>89503</v>
      </c>
      <c r="D54" s="198" t="s">
        <v>98</v>
      </c>
      <c r="E54" s="193" t="s">
        <v>12</v>
      </c>
      <c r="F54" s="195">
        <v>3</v>
      </c>
      <c r="G54" s="196">
        <v>22.77</v>
      </c>
      <c r="H54" s="82">
        <f t="shared" ref="H54:H62" si="10">G54*1.2835</f>
        <v>29.225295000000003</v>
      </c>
      <c r="I54" s="104">
        <f t="shared" ref="I54:I62" si="11">TRUNC(H54*F54,2)</f>
        <v>87.67</v>
      </c>
    </row>
    <row r="55" spans="2:9" s="55" customFormat="1" ht="28.5" x14ac:dyDescent="0.2">
      <c r="B55" s="144" t="s">
        <v>195</v>
      </c>
      <c r="C55" s="193">
        <v>89449</v>
      </c>
      <c r="D55" s="198" t="s">
        <v>220</v>
      </c>
      <c r="E55" s="193" t="s">
        <v>6</v>
      </c>
      <c r="F55" s="81">
        <v>12</v>
      </c>
      <c r="G55" s="142">
        <v>16.78</v>
      </c>
      <c r="H55" s="82">
        <f t="shared" si="10"/>
        <v>21.537130000000001</v>
      </c>
      <c r="I55" s="104">
        <f t="shared" si="11"/>
        <v>258.44</v>
      </c>
    </row>
    <row r="56" spans="2:9" s="55" customFormat="1" ht="28.5" x14ac:dyDescent="0.2">
      <c r="B56" s="144" t="s">
        <v>196</v>
      </c>
      <c r="C56" s="193">
        <v>89625</v>
      </c>
      <c r="D56" s="198" t="s">
        <v>221</v>
      </c>
      <c r="E56" s="193" t="s">
        <v>12</v>
      </c>
      <c r="F56" s="81">
        <v>3</v>
      </c>
      <c r="G56" s="104">
        <v>20.02</v>
      </c>
      <c r="H56" s="82">
        <f t="shared" si="10"/>
        <v>25.69567</v>
      </c>
      <c r="I56" s="104">
        <f t="shared" si="11"/>
        <v>77.08</v>
      </c>
    </row>
    <row r="57" spans="2:9" s="55" customFormat="1" ht="57" x14ac:dyDescent="0.2">
      <c r="B57" s="144" t="s">
        <v>197</v>
      </c>
      <c r="C57" s="193">
        <v>94706</v>
      </c>
      <c r="D57" s="198" t="s">
        <v>130</v>
      </c>
      <c r="E57" s="193" t="s">
        <v>12</v>
      </c>
      <c r="F57" s="81">
        <v>3</v>
      </c>
      <c r="G57" s="104">
        <v>39.75</v>
      </c>
      <c r="H57" s="82">
        <f t="shared" si="10"/>
        <v>51.019125000000003</v>
      </c>
      <c r="I57" s="104">
        <f t="shared" si="11"/>
        <v>153.05000000000001</v>
      </c>
    </row>
    <row r="58" spans="2:9" s="55" customFormat="1" ht="57" x14ac:dyDescent="0.2">
      <c r="B58" s="144" t="s">
        <v>198</v>
      </c>
      <c r="C58" s="193">
        <v>94662</v>
      </c>
      <c r="D58" s="198" t="s">
        <v>131</v>
      </c>
      <c r="E58" s="193" t="s">
        <v>12</v>
      </c>
      <c r="F58" s="81">
        <v>3</v>
      </c>
      <c r="G58" s="104">
        <v>11.5</v>
      </c>
      <c r="H58" s="82">
        <f t="shared" si="10"/>
        <v>14.760250000000001</v>
      </c>
      <c r="I58" s="104">
        <f t="shared" si="11"/>
        <v>44.28</v>
      </c>
    </row>
    <row r="59" spans="2:9" s="55" customFormat="1" ht="28.5" x14ac:dyDescent="0.2">
      <c r="B59" s="144" t="s">
        <v>199</v>
      </c>
      <c r="C59" s="193">
        <v>813</v>
      </c>
      <c r="D59" s="198" t="s">
        <v>132</v>
      </c>
      <c r="E59" s="193" t="s">
        <v>12</v>
      </c>
      <c r="F59" s="81">
        <v>3</v>
      </c>
      <c r="G59" s="104">
        <v>4.47</v>
      </c>
      <c r="H59" s="82">
        <f t="shared" si="10"/>
        <v>5.7372449999999997</v>
      </c>
      <c r="I59" s="104">
        <f t="shared" si="11"/>
        <v>17.21</v>
      </c>
    </row>
    <row r="60" spans="2:9" s="55" customFormat="1" ht="28.5" x14ac:dyDescent="0.2">
      <c r="B60" s="144" t="s">
        <v>200</v>
      </c>
      <c r="C60" s="193">
        <v>102609</v>
      </c>
      <c r="D60" s="198" t="s">
        <v>129</v>
      </c>
      <c r="E60" s="193" t="s">
        <v>12</v>
      </c>
      <c r="F60" s="81">
        <v>1</v>
      </c>
      <c r="G60" s="104">
        <v>920.08</v>
      </c>
      <c r="H60" s="82">
        <f t="shared" si="10"/>
        <v>1180.9226800000001</v>
      </c>
      <c r="I60" s="104">
        <f t="shared" si="11"/>
        <v>1180.92</v>
      </c>
    </row>
    <row r="61" spans="2:9" s="55" customFormat="1" ht="28.5" x14ac:dyDescent="0.2">
      <c r="B61" s="144" t="s">
        <v>201</v>
      </c>
      <c r="C61" s="80">
        <v>94497</v>
      </c>
      <c r="D61" s="110" t="s">
        <v>128</v>
      </c>
      <c r="E61" s="193" t="s">
        <v>12</v>
      </c>
      <c r="F61" s="81">
        <v>1</v>
      </c>
      <c r="G61" s="142">
        <v>57.96</v>
      </c>
      <c r="H61" s="82">
        <f t="shared" si="10"/>
        <v>74.391660000000002</v>
      </c>
      <c r="I61" s="104">
        <f t="shared" si="11"/>
        <v>74.39</v>
      </c>
    </row>
    <row r="62" spans="2:9" s="55" customFormat="1" x14ac:dyDescent="0.2">
      <c r="B62" s="144" t="s">
        <v>202</v>
      </c>
      <c r="C62" s="80" t="s">
        <v>136</v>
      </c>
      <c r="D62" s="110" t="s">
        <v>120</v>
      </c>
      <c r="E62" s="193" t="s">
        <v>12</v>
      </c>
      <c r="F62" s="81">
        <v>1</v>
      </c>
      <c r="G62" s="142">
        <f>Composições!F37</f>
        <v>33.239999999999995</v>
      </c>
      <c r="H62" s="82">
        <f t="shared" si="10"/>
        <v>42.663539999999998</v>
      </c>
      <c r="I62" s="104">
        <f t="shared" si="11"/>
        <v>42.66</v>
      </c>
    </row>
    <row r="63" spans="2:9" ht="15" x14ac:dyDescent="0.2">
      <c r="B63" s="74"/>
      <c r="C63" s="147"/>
      <c r="D63" s="147"/>
      <c r="E63" s="147"/>
      <c r="F63" s="147"/>
      <c r="G63" s="199" t="s">
        <v>1</v>
      </c>
      <c r="H63" s="148"/>
      <c r="I63" s="86">
        <f>SUM(I54:I62)</f>
        <v>1935.7000000000003</v>
      </c>
    </row>
    <row r="64" spans="2:9" s="55" customFormat="1" ht="15" x14ac:dyDescent="0.2">
      <c r="B64" s="152"/>
      <c r="C64" s="97"/>
      <c r="D64" s="97"/>
      <c r="E64" s="97"/>
      <c r="F64" s="97"/>
      <c r="G64" s="97"/>
      <c r="H64" s="99"/>
      <c r="I64" s="91"/>
    </row>
    <row r="65" spans="2:9" s="55" customFormat="1" ht="15" x14ac:dyDescent="0.25">
      <c r="B65" s="73">
        <v>8</v>
      </c>
      <c r="C65" s="200"/>
      <c r="D65" s="76" t="s">
        <v>203</v>
      </c>
      <c r="E65" s="76"/>
      <c r="F65" s="76"/>
      <c r="G65" s="76"/>
      <c r="H65" s="76"/>
      <c r="I65" s="201"/>
    </row>
    <row r="66" spans="2:9" s="55" customFormat="1" ht="28.5" x14ac:dyDescent="0.2">
      <c r="B66" s="144" t="s">
        <v>204</v>
      </c>
      <c r="C66" s="192">
        <v>91926</v>
      </c>
      <c r="D66" s="110" t="s">
        <v>209</v>
      </c>
      <c r="E66" s="193" t="s">
        <v>6</v>
      </c>
      <c r="F66" s="195">
        <v>50</v>
      </c>
      <c r="G66" s="196">
        <v>3.8</v>
      </c>
      <c r="H66" s="82">
        <f t="shared" ref="H66" si="12">G66*1.2835</f>
        <v>4.8773</v>
      </c>
      <c r="I66" s="104">
        <f t="shared" ref="I66:I73" si="13">TRUNC(H66*F66,2)</f>
        <v>243.86</v>
      </c>
    </row>
    <row r="67" spans="2:9" s="55" customFormat="1" ht="28.5" x14ac:dyDescent="0.2">
      <c r="B67" s="144" t="s">
        <v>205</v>
      </c>
      <c r="C67" s="192">
        <v>91996</v>
      </c>
      <c r="D67" s="110" t="s">
        <v>210</v>
      </c>
      <c r="E67" s="193" t="s">
        <v>12</v>
      </c>
      <c r="F67" s="195">
        <v>1</v>
      </c>
      <c r="G67" s="196">
        <v>23.74</v>
      </c>
      <c r="H67" s="82">
        <f t="shared" ref="H67:H70" si="14">G67*1.2835</f>
        <v>30.470289999999999</v>
      </c>
      <c r="I67" s="104">
        <f t="shared" si="13"/>
        <v>30.47</v>
      </c>
    </row>
    <row r="68" spans="2:9" s="55" customFormat="1" ht="28.5" x14ac:dyDescent="0.2">
      <c r="B68" s="144" t="s">
        <v>206</v>
      </c>
      <c r="C68" s="192">
        <v>92000</v>
      </c>
      <c r="D68" s="110" t="s">
        <v>211</v>
      </c>
      <c r="E68" s="193" t="s">
        <v>12</v>
      </c>
      <c r="F68" s="195">
        <v>1</v>
      </c>
      <c r="G68" s="196">
        <v>21.2</v>
      </c>
      <c r="H68" s="82">
        <f t="shared" si="14"/>
        <v>27.2102</v>
      </c>
      <c r="I68" s="104">
        <f t="shared" si="13"/>
        <v>27.21</v>
      </c>
    </row>
    <row r="69" spans="2:9" s="55" customFormat="1" ht="28.5" x14ac:dyDescent="0.2">
      <c r="B69" s="144" t="s">
        <v>207</v>
      </c>
      <c r="C69" s="193">
        <v>38769</v>
      </c>
      <c r="D69" s="110" t="s">
        <v>212</v>
      </c>
      <c r="E69" s="193" t="s">
        <v>12</v>
      </c>
      <c r="F69" s="195">
        <v>2</v>
      </c>
      <c r="G69" s="196">
        <v>75.06</v>
      </c>
      <c r="H69" s="82">
        <f t="shared" si="14"/>
        <v>96.339510000000004</v>
      </c>
      <c r="I69" s="104">
        <f t="shared" si="13"/>
        <v>192.67</v>
      </c>
    </row>
    <row r="70" spans="2:9" s="55" customFormat="1" x14ac:dyDescent="0.2">
      <c r="B70" s="144" t="s">
        <v>208</v>
      </c>
      <c r="C70" s="193">
        <v>39391</v>
      </c>
      <c r="D70" s="110" t="s">
        <v>213</v>
      </c>
      <c r="E70" s="193" t="s">
        <v>12</v>
      </c>
      <c r="F70" s="194">
        <v>5</v>
      </c>
      <c r="G70" s="196">
        <v>43.82</v>
      </c>
      <c r="H70" s="82">
        <f t="shared" si="14"/>
        <v>56.242970000000007</v>
      </c>
      <c r="I70" s="104">
        <f t="shared" si="13"/>
        <v>281.20999999999998</v>
      </c>
    </row>
    <row r="71" spans="2:9" s="55" customFormat="1" x14ac:dyDescent="0.2">
      <c r="B71" s="144" t="s">
        <v>215</v>
      </c>
      <c r="C71" s="193">
        <v>39385</v>
      </c>
      <c r="D71" s="110" t="s">
        <v>214</v>
      </c>
      <c r="E71" s="193" t="s">
        <v>12</v>
      </c>
      <c r="F71" s="194">
        <v>6</v>
      </c>
      <c r="G71" s="196">
        <v>17.16</v>
      </c>
      <c r="H71" s="82">
        <f t="shared" ref="H71" si="15">G71*1.2835</f>
        <v>22.02486</v>
      </c>
      <c r="I71" s="104">
        <f t="shared" si="13"/>
        <v>132.13999999999999</v>
      </c>
    </row>
    <row r="72" spans="2:9" s="55" customFormat="1" x14ac:dyDescent="0.2">
      <c r="B72" s="144" t="s">
        <v>218</v>
      </c>
      <c r="C72" s="193">
        <v>88247</v>
      </c>
      <c r="D72" s="110" t="s">
        <v>216</v>
      </c>
      <c r="E72" s="193" t="s">
        <v>24</v>
      </c>
      <c r="F72" s="194">
        <f>8*4</f>
        <v>32</v>
      </c>
      <c r="G72" s="196">
        <v>15.19</v>
      </c>
      <c r="H72" s="82">
        <f t="shared" ref="H72:H73" si="16">G72*1.2835</f>
        <v>19.496365000000001</v>
      </c>
      <c r="I72" s="104">
        <f t="shared" si="13"/>
        <v>623.88</v>
      </c>
    </row>
    <row r="73" spans="2:9" s="55" customFormat="1" x14ac:dyDescent="0.2">
      <c r="B73" s="144" t="s">
        <v>219</v>
      </c>
      <c r="C73" s="193">
        <v>88264</v>
      </c>
      <c r="D73" s="110" t="s">
        <v>217</v>
      </c>
      <c r="E73" s="193" t="s">
        <v>24</v>
      </c>
      <c r="F73" s="194">
        <f>8*4</f>
        <v>32</v>
      </c>
      <c r="G73" s="196">
        <v>19.53</v>
      </c>
      <c r="H73" s="82">
        <f t="shared" si="16"/>
        <v>25.066755000000004</v>
      </c>
      <c r="I73" s="104">
        <f t="shared" si="13"/>
        <v>802.13</v>
      </c>
    </row>
    <row r="74" spans="2:9" s="55" customFormat="1" ht="15" x14ac:dyDescent="0.2">
      <c r="B74" s="74"/>
      <c r="C74" s="147"/>
      <c r="D74" s="147"/>
      <c r="E74" s="147"/>
      <c r="F74" s="147"/>
      <c r="G74" s="199" t="s">
        <v>1</v>
      </c>
      <c r="H74" s="148"/>
      <c r="I74" s="86">
        <f>SUM(I66:I73)</f>
        <v>2333.5700000000002</v>
      </c>
    </row>
    <row r="75" spans="2:9" s="55" customFormat="1" ht="15" x14ac:dyDescent="0.2">
      <c r="B75" s="152"/>
      <c r="C75" s="97"/>
      <c r="D75" s="97"/>
      <c r="E75" s="97"/>
      <c r="F75" s="97"/>
      <c r="G75" s="97"/>
      <c r="H75" s="99"/>
      <c r="I75" s="91"/>
    </row>
    <row r="76" spans="2:9" ht="15" x14ac:dyDescent="0.25">
      <c r="B76" s="202">
        <v>9</v>
      </c>
      <c r="C76" s="203"/>
      <c r="D76" s="204" t="s">
        <v>85</v>
      </c>
      <c r="E76" s="204"/>
      <c r="F76" s="204"/>
      <c r="G76" s="149"/>
      <c r="H76" s="204"/>
      <c r="I76" s="201"/>
    </row>
    <row r="77" spans="2:9" s="55" customFormat="1" x14ac:dyDescent="0.2">
      <c r="B77" s="80" t="s">
        <v>270</v>
      </c>
      <c r="C77" s="80" t="s">
        <v>137</v>
      </c>
      <c r="D77" s="110" t="s">
        <v>99</v>
      </c>
      <c r="E77" s="193" t="s">
        <v>12</v>
      </c>
      <c r="F77" s="81">
        <v>2</v>
      </c>
      <c r="G77" s="142">
        <f>Composições!F40</f>
        <v>17.1325</v>
      </c>
      <c r="H77" s="82">
        <f t="shared" ref="H77:H79" si="17">G77*1.2835</f>
        <v>21.989563750000002</v>
      </c>
      <c r="I77" s="104">
        <f t="shared" ref="I77:I80" si="18">TRUNC(H77*F77,2)</f>
        <v>43.97</v>
      </c>
    </row>
    <row r="78" spans="2:9" s="55" customFormat="1" x14ac:dyDescent="0.2">
      <c r="B78" s="80" t="s">
        <v>271</v>
      </c>
      <c r="C78" s="80" t="s">
        <v>55</v>
      </c>
      <c r="D78" s="110" t="s">
        <v>223</v>
      </c>
      <c r="E78" s="193" t="s">
        <v>12</v>
      </c>
      <c r="F78" s="81">
        <v>2</v>
      </c>
      <c r="G78" s="205">
        <f>Composições!F43</f>
        <v>841.83919999999989</v>
      </c>
      <c r="H78" s="82">
        <f t="shared" si="17"/>
        <v>1080.5006131999999</v>
      </c>
      <c r="I78" s="104">
        <f t="shared" si="18"/>
        <v>2161</v>
      </c>
    </row>
    <row r="79" spans="2:9" s="55" customFormat="1" x14ac:dyDescent="0.2">
      <c r="B79" s="80" t="s">
        <v>272</v>
      </c>
      <c r="C79" s="80" t="s">
        <v>56</v>
      </c>
      <c r="D79" s="110" t="str">
        <f>Composições!B54</f>
        <v>MANUTENÇÃO PORTINHOLA DE ALUMÍNIO DE ABRIR</v>
      </c>
      <c r="E79" s="193" t="s">
        <v>12</v>
      </c>
      <c r="F79" s="81">
        <v>1</v>
      </c>
      <c r="G79" s="205">
        <f>Composições!F54</f>
        <v>82.909115999999983</v>
      </c>
      <c r="H79" s="82">
        <f t="shared" si="17"/>
        <v>106.41385038599998</v>
      </c>
      <c r="I79" s="104">
        <f t="shared" si="18"/>
        <v>106.41</v>
      </c>
    </row>
    <row r="80" spans="2:9" s="55" customFormat="1" x14ac:dyDescent="0.2">
      <c r="B80" s="80" t="s">
        <v>273</v>
      </c>
      <c r="C80" s="80" t="s">
        <v>71</v>
      </c>
      <c r="D80" s="110" t="s">
        <v>80</v>
      </c>
      <c r="E80" s="80" t="s">
        <v>12</v>
      </c>
      <c r="F80" s="81">
        <v>1</v>
      </c>
      <c r="G80" s="142">
        <f>Composições!F59</f>
        <v>757.16180000000008</v>
      </c>
      <c r="H80" s="82">
        <f>G80*1.2555</f>
        <v>950.61663990000011</v>
      </c>
      <c r="I80" s="104">
        <f t="shared" si="18"/>
        <v>950.61</v>
      </c>
    </row>
    <row r="81" spans="2:11" ht="15" x14ac:dyDescent="0.2">
      <c r="B81" s="118"/>
      <c r="C81" s="114"/>
      <c r="D81" s="113"/>
      <c r="E81" s="114"/>
      <c r="F81" s="84"/>
      <c r="G81" s="85" t="s">
        <v>1</v>
      </c>
      <c r="H81" s="206"/>
      <c r="I81" s="86">
        <f>SUM(I77:I80)</f>
        <v>3261.99</v>
      </c>
    </row>
    <row r="82" spans="2:11" x14ac:dyDescent="0.2">
      <c r="B82" s="207"/>
      <c r="C82" s="208"/>
      <c r="D82" s="209"/>
      <c r="E82" s="208"/>
      <c r="F82" s="208"/>
      <c r="G82" s="210"/>
      <c r="H82" s="211"/>
      <c r="I82" s="211"/>
    </row>
    <row r="83" spans="2:11" ht="31.5" customHeight="1" x14ac:dyDescent="0.2">
      <c r="B83" s="118"/>
      <c r="C83" s="114"/>
      <c r="D83" s="113"/>
      <c r="E83" s="114"/>
      <c r="F83" s="84"/>
      <c r="G83" s="85" t="s">
        <v>92</v>
      </c>
      <c r="H83" s="206"/>
      <c r="I83" s="86">
        <f>SUM(I9:I81)/2</f>
        <v>66264.190000000031</v>
      </c>
      <c r="K83" s="59"/>
    </row>
    <row r="86" spans="2:11" x14ac:dyDescent="0.2">
      <c r="I86" s="101"/>
    </row>
    <row r="88" spans="2:11" x14ac:dyDescent="0.2">
      <c r="F88" s="102"/>
    </row>
  </sheetData>
  <mergeCells count="5">
    <mergeCell ref="B23:I23"/>
    <mergeCell ref="I2:I3"/>
    <mergeCell ref="J2:J3"/>
    <mergeCell ref="I4:I5"/>
    <mergeCell ref="B2:H5"/>
  </mergeCells>
  <printOptions horizontalCentered="1" verticalCentered="1"/>
  <pageMargins left="0.25" right="0.25" top="0.75" bottom="0.75" header="0.3" footer="0.3"/>
  <pageSetup paperSize="9" scale="78" fitToHeight="0" orientation="landscape" r:id="rId1"/>
  <headerFooter scaleWithDoc="0"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zoomScale="115" zoomScaleNormal="115" workbookViewId="0">
      <selection activeCell="F90" sqref="F90"/>
    </sheetView>
  </sheetViews>
  <sheetFormatPr defaultRowHeight="15.75" x14ac:dyDescent="0.25"/>
  <cols>
    <col min="1" max="1" width="29.7109375" style="219" customWidth="1"/>
    <col min="2" max="2" width="92.5703125" style="219" customWidth="1"/>
    <col min="3" max="3" width="8.5703125" style="43" bestFit="1" customWidth="1"/>
    <col min="4" max="4" width="19.5703125" style="219" customWidth="1"/>
    <col min="5" max="5" width="14" style="219" customWidth="1"/>
    <col min="6" max="6" width="14.140625" style="219" customWidth="1"/>
    <col min="7" max="16384" width="9.140625" style="219"/>
  </cols>
  <sheetData>
    <row r="1" spans="1:11" s="213" customFormat="1" ht="38.25" customHeight="1" x14ac:dyDescent="0.25">
      <c r="A1" s="11" t="s">
        <v>8</v>
      </c>
      <c r="B1" s="224" t="s">
        <v>19</v>
      </c>
      <c r="C1" s="44" t="s">
        <v>20</v>
      </c>
      <c r="D1" s="45" t="s">
        <v>21</v>
      </c>
      <c r="E1" s="46" t="s">
        <v>22</v>
      </c>
      <c r="F1" s="46" t="s">
        <v>23</v>
      </c>
      <c r="G1" s="212"/>
      <c r="H1" s="212"/>
      <c r="I1" s="212"/>
      <c r="J1" s="212"/>
      <c r="K1" s="212"/>
    </row>
    <row r="2" spans="1:11" s="212" customFormat="1" x14ac:dyDescent="0.25">
      <c r="A2" s="220" t="s">
        <v>10</v>
      </c>
      <c r="B2" s="221" t="s">
        <v>62</v>
      </c>
      <c r="C2" s="220" t="s">
        <v>12</v>
      </c>
      <c r="D2" s="222"/>
      <c r="E2" s="223"/>
      <c r="F2" s="223">
        <f>SUM(F3:F5)</f>
        <v>477.54999999999995</v>
      </c>
    </row>
    <row r="3" spans="1:11" s="39" customFormat="1" ht="31.5" x14ac:dyDescent="0.25">
      <c r="A3" s="47" t="s">
        <v>94</v>
      </c>
      <c r="B3" s="15" t="s">
        <v>63</v>
      </c>
      <c r="C3" s="48" t="s">
        <v>12</v>
      </c>
      <c r="D3" s="3">
        <v>1</v>
      </c>
      <c r="E3" s="49">
        <v>167.35</v>
      </c>
      <c r="F3" s="49">
        <f>D3*E3</f>
        <v>167.35</v>
      </c>
    </row>
    <row r="4" spans="1:11" s="39" customFormat="1" x14ac:dyDescent="0.25">
      <c r="A4" s="2" t="s">
        <v>64</v>
      </c>
      <c r="B4" s="15" t="s">
        <v>95</v>
      </c>
      <c r="C4" s="2" t="s">
        <v>12</v>
      </c>
      <c r="D4" s="3">
        <v>1</v>
      </c>
      <c r="E4" s="49">
        <v>233.94</v>
      </c>
      <c r="F4" s="49">
        <f>D4*E4</f>
        <v>233.94</v>
      </c>
    </row>
    <row r="5" spans="1:11" s="39" customFormat="1" x14ac:dyDescent="0.25">
      <c r="A5" s="1">
        <v>90772</v>
      </c>
      <c r="B5" s="12" t="s">
        <v>65</v>
      </c>
      <c r="C5" s="2" t="s">
        <v>24</v>
      </c>
      <c r="D5" s="50">
        <v>6</v>
      </c>
      <c r="E5" s="49">
        <v>12.71</v>
      </c>
      <c r="F5" s="49">
        <f>D5*E5</f>
        <v>76.260000000000005</v>
      </c>
    </row>
    <row r="6" spans="1:11" s="212" customFormat="1" ht="31.5" x14ac:dyDescent="0.25">
      <c r="A6" s="220" t="s">
        <v>11</v>
      </c>
      <c r="B6" s="221" t="s">
        <v>61</v>
      </c>
      <c r="C6" s="220" t="s">
        <v>0</v>
      </c>
      <c r="D6" s="220"/>
      <c r="E6" s="225"/>
      <c r="F6" s="225">
        <f>SUM(F7:F12)</f>
        <v>299.96400000000006</v>
      </c>
    </row>
    <row r="7" spans="1:11" s="39" customFormat="1" ht="31.5" x14ac:dyDescent="0.25">
      <c r="A7" s="1">
        <v>4417</v>
      </c>
      <c r="B7" s="16" t="s">
        <v>66</v>
      </c>
      <c r="C7" s="2" t="s">
        <v>6</v>
      </c>
      <c r="D7" s="17">
        <v>1</v>
      </c>
      <c r="E7" s="51">
        <v>4.84</v>
      </c>
      <c r="F7" s="52">
        <f t="shared" ref="F7:F12" si="0">D7*E7</f>
        <v>4.84</v>
      </c>
    </row>
    <row r="8" spans="1:11" s="39" customFormat="1" ht="31.5" x14ac:dyDescent="0.25">
      <c r="A8" s="1">
        <v>4491</v>
      </c>
      <c r="B8" s="16" t="s">
        <v>67</v>
      </c>
      <c r="C8" s="2" t="s">
        <v>6</v>
      </c>
      <c r="D8" s="17">
        <v>4</v>
      </c>
      <c r="E8" s="51">
        <v>8.44</v>
      </c>
      <c r="F8" s="52">
        <f t="shared" si="0"/>
        <v>33.76</v>
      </c>
    </row>
    <row r="9" spans="1:11" s="39" customFormat="1" ht="31.5" x14ac:dyDescent="0.25">
      <c r="A9" s="1">
        <v>4813</v>
      </c>
      <c r="B9" s="16" t="s">
        <v>68</v>
      </c>
      <c r="C9" s="2" t="s">
        <v>33</v>
      </c>
      <c r="D9" s="17">
        <v>1</v>
      </c>
      <c r="E9" s="51">
        <v>225</v>
      </c>
      <c r="F9" s="52">
        <f t="shared" si="0"/>
        <v>225</v>
      </c>
    </row>
    <row r="10" spans="1:11" s="39" customFormat="1" x14ac:dyDescent="0.25">
      <c r="A10" s="1">
        <v>5075</v>
      </c>
      <c r="B10" s="16" t="s">
        <v>69</v>
      </c>
      <c r="C10" s="2" t="s">
        <v>7</v>
      </c>
      <c r="D10" s="17">
        <v>0.11</v>
      </c>
      <c r="E10" s="51">
        <v>23.4</v>
      </c>
      <c r="F10" s="52">
        <f t="shared" si="0"/>
        <v>2.5739999999999998</v>
      </c>
    </row>
    <row r="11" spans="1:11" s="39" customFormat="1" x14ac:dyDescent="0.25">
      <c r="A11" s="1">
        <v>88262</v>
      </c>
      <c r="B11" s="16" t="s">
        <v>70</v>
      </c>
      <c r="C11" s="2" t="s">
        <v>24</v>
      </c>
      <c r="D11" s="17">
        <v>1</v>
      </c>
      <c r="E11" s="51">
        <v>18.63</v>
      </c>
      <c r="F11" s="52">
        <f t="shared" si="0"/>
        <v>18.63</v>
      </c>
    </row>
    <row r="12" spans="1:11" s="39" customFormat="1" x14ac:dyDescent="0.25">
      <c r="A12" s="1">
        <v>88316</v>
      </c>
      <c r="B12" s="16" t="s">
        <v>28</v>
      </c>
      <c r="C12" s="2" t="s">
        <v>24</v>
      </c>
      <c r="D12" s="17">
        <v>1</v>
      </c>
      <c r="E12" s="51">
        <v>15.16</v>
      </c>
      <c r="F12" s="52">
        <f t="shared" si="0"/>
        <v>15.16</v>
      </c>
    </row>
    <row r="13" spans="1:11" s="214" customFormat="1" ht="30.75" customHeight="1" x14ac:dyDescent="0.25">
      <c r="A13" s="226" t="s">
        <v>74</v>
      </c>
      <c r="B13" s="227" t="s">
        <v>50</v>
      </c>
      <c r="C13" s="226" t="s">
        <v>12</v>
      </c>
      <c r="D13" s="228"/>
      <c r="E13" s="229"/>
      <c r="F13" s="229">
        <f>SUM(F14:F16)</f>
        <v>776.92</v>
      </c>
    </row>
    <row r="14" spans="1:11" s="215" customFormat="1" x14ac:dyDescent="0.25">
      <c r="A14" s="5">
        <v>88316</v>
      </c>
      <c r="B14" s="6" t="s">
        <v>28</v>
      </c>
      <c r="C14" s="5" t="s">
        <v>24</v>
      </c>
      <c r="D14" s="7">
        <v>16</v>
      </c>
      <c r="E14" s="53">
        <v>15.16</v>
      </c>
      <c r="F14" s="53">
        <f>D14*E14</f>
        <v>242.56</v>
      </c>
    </row>
    <row r="15" spans="1:11" s="215" customFormat="1" ht="47.25" x14ac:dyDescent="0.25">
      <c r="A15" s="13">
        <v>73467</v>
      </c>
      <c r="B15" s="6" t="s">
        <v>51</v>
      </c>
      <c r="C15" s="5" t="s">
        <v>9</v>
      </c>
      <c r="D15" s="7">
        <v>2</v>
      </c>
      <c r="E15" s="53">
        <v>138.5</v>
      </c>
      <c r="F15" s="53">
        <f>D15*E15</f>
        <v>277</v>
      </c>
    </row>
    <row r="16" spans="1:11" s="215" customFormat="1" ht="38.1" customHeight="1" x14ac:dyDescent="0.25">
      <c r="A16" s="13">
        <v>5892</v>
      </c>
      <c r="B16" s="6" t="s">
        <v>52</v>
      </c>
      <c r="C16" s="5" t="s">
        <v>31</v>
      </c>
      <c r="D16" s="7">
        <v>8</v>
      </c>
      <c r="E16" s="53">
        <v>32.17</v>
      </c>
      <c r="F16" s="53">
        <f>D16*E16</f>
        <v>257.36</v>
      </c>
    </row>
    <row r="17" spans="1:11" s="214" customFormat="1" ht="27" customHeight="1" x14ac:dyDescent="0.25">
      <c r="A17" s="226" t="s">
        <v>13</v>
      </c>
      <c r="B17" s="227" t="s">
        <v>53</v>
      </c>
      <c r="C17" s="226" t="s">
        <v>12</v>
      </c>
      <c r="D17" s="228"/>
      <c r="E17" s="229"/>
      <c r="F17" s="229">
        <f>SUM(F18:F20)</f>
        <v>776.92</v>
      </c>
    </row>
    <row r="18" spans="1:11" s="215" customFormat="1" x14ac:dyDescent="0.25">
      <c r="A18" s="14">
        <v>88316</v>
      </c>
      <c r="B18" s="6" t="s">
        <v>28</v>
      </c>
      <c r="C18" s="5" t="s">
        <v>24</v>
      </c>
      <c r="D18" s="7">
        <v>16</v>
      </c>
      <c r="E18" s="53">
        <v>15.16</v>
      </c>
      <c r="F18" s="53">
        <f>D18*E18</f>
        <v>242.56</v>
      </c>
    </row>
    <row r="19" spans="1:11" s="215" customFormat="1" ht="47.25" x14ac:dyDescent="0.25">
      <c r="A19" s="13">
        <v>73467</v>
      </c>
      <c r="B19" s="6" t="s">
        <v>51</v>
      </c>
      <c r="C19" s="5" t="s">
        <v>9</v>
      </c>
      <c r="D19" s="7">
        <v>2</v>
      </c>
      <c r="E19" s="53">
        <v>138.5</v>
      </c>
      <c r="F19" s="53">
        <f>D19*E19</f>
        <v>277</v>
      </c>
    </row>
    <row r="20" spans="1:11" s="215" customFormat="1" ht="31.5" x14ac:dyDescent="0.25">
      <c r="A20" s="13">
        <v>5892</v>
      </c>
      <c r="B20" s="6" t="s">
        <v>52</v>
      </c>
      <c r="C20" s="5" t="s">
        <v>31</v>
      </c>
      <c r="D20" s="7">
        <v>8</v>
      </c>
      <c r="E20" s="53">
        <v>32.17</v>
      </c>
      <c r="F20" s="53">
        <f>D20*E20</f>
        <v>257.36</v>
      </c>
    </row>
    <row r="21" spans="1:11" s="214" customFormat="1" ht="30.75" customHeight="1" x14ac:dyDescent="0.25">
      <c r="A21" s="226" t="s">
        <v>14</v>
      </c>
      <c r="B21" s="227" t="s">
        <v>47</v>
      </c>
      <c r="C21" s="230" t="s">
        <v>6</v>
      </c>
      <c r="D21" s="228"/>
      <c r="E21" s="231"/>
      <c r="F21" s="231">
        <f>SUM(F22:F23)</f>
        <v>3.8659999999999997</v>
      </c>
    </row>
    <row r="22" spans="1:11" s="215" customFormat="1" x14ac:dyDescent="0.25">
      <c r="A22" s="5">
        <v>88316</v>
      </c>
      <c r="B22" s="6" t="s">
        <v>28</v>
      </c>
      <c r="C22" s="5" t="s">
        <v>24</v>
      </c>
      <c r="D22" s="7">
        <v>0.15</v>
      </c>
      <c r="E22" s="8">
        <v>15.16</v>
      </c>
      <c r="F22" s="54">
        <f>E22*D22</f>
        <v>2.274</v>
      </c>
      <c r="G22" s="216"/>
    </row>
    <row r="23" spans="1:11" s="215" customFormat="1" x14ac:dyDescent="0.25">
      <c r="A23" s="9">
        <v>88323</v>
      </c>
      <c r="B23" s="10" t="s">
        <v>29</v>
      </c>
      <c r="C23" s="5" t="s">
        <v>24</v>
      </c>
      <c r="D23" s="7">
        <v>0.08</v>
      </c>
      <c r="E23" s="8">
        <v>19.899999999999999</v>
      </c>
      <c r="F23" s="54">
        <f>E23*D23</f>
        <v>1.5919999999999999</v>
      </c>
    </row>
    <row r="24" spans="1:11" s="213" customFormat="1" ht="33" customHeight="1" x14ac:dyDescent="0.25">
      <c r="A24" s="220" t="s">
        <v>15</v>
      </c>
      <c r="B24" s="233" t="s">
        <v>109</v>
      </c>
      <c r="C24" s="220" t="s">
        <v>0</v>
      </c>
      <c r="D24" s="222"/>
      <c r="E24" s="223"/>
      <c r="F24" s="223">
        <f>SUM(F25:F31)</f>
        <v>41.268700000000003</v>
      </c>
      <c r="G24" s="212"/>
      <c r="H24" s="212"/>
      <c r="I24" s="212"/>
      <c r="J24" s="212"/>
      <c r="K24" s="212"/>
    </row>
    <row r="25" spans="1:11" s="213" customFormat="1" ht="31.5" x14ac:dyDescent="0.25">
      <c r="A25" s="232">
        <v>1607</v>
      </c>
      <c r="B25" s="12" t="s">
        <v>103</v>
      </c>
      <c r="C25" s="232" t="s">
        <v>104</v>
      </c>
      <c r="D25" s="2">
        <v>1</v>
      </c>
      <c r="E25" s="4">
        <v>0.26</v>
      </c>
      <c r="F25" s="4">
        <f>D25*E25</f>
        <v>0.26</v>
      </c>
      <c r="G25" s="212"/>
      <c r="H25" s="212"/>
      <c r="I25" s="212"/>
      <c r="J25" s="212"/>
      <c r="K25" s="212"/>
    </row>
    <row r="26" spans="1:11" s="213" customFormat="1" x14ac:dyDescent="0.25">
      <c r="A26" s="232">
        <v>4312</v>
      </c>
      <c r="B26" s="12" t="s">
        <v>105</v>
      </c>
      <c r="C26" s="232" t="s">
        <v>106</v>
      </c>
      <c r="D26" s="2">
        <v>0.31</v>
      </c>
      <c r="E26" s="4">
        <v>3.08</v>
      </c>
      <c r="F26" s="4">
        <f t="shared" ref="F26:F31" si="1">D26*E26</f>
        <v>0.95479999999999998</v>
      </c>
      <c r="G26" s="212"/>
      <c r="H26" s="212"/>
      <c r="I26" s="212"/>
      <c r="J26" s="212"/>
      <c r="K26" s="212"/>
    </row>
    <row r="27" spans="1:11" s="213" customFormat="1" ht="31.5" x14ac:dyDescent="0.25">
      <c r="A27" s="232">
        <v>4315</v>
      </c>
      <c r="B27" s="12" t="s">
        <v>107</v>
      </c>
      <c r="C27" s="232" t="s">
        <v>106</v>
      </c>
      <c r="D27" s="2">
        <v>1</v>
      </c>
      <c r="E27" s="4">
        <v>2.27</v>
      </c>
      <c r="F27" s="4">
        <f t="shared" si="1"/>
        <v>2.27</v>
      </c>
      <c r="G27" s="212"/>
      <c r="H27" s="212"/>
      <c r="I27" s="212"/>
      <c r="J27" s="212"/>
      <c r="K27" s="212"/>
    </row>
    <row r="28" spans="1:11" s="213" customFormat="1" x14ac:dyDescent="0.25">
      <c r="A28" s="232">
        <v>88316</v>
      </c>
      <c r="B28" s="12" t="s">
        <v>28</v>
      </c>
      <c r="C28" s="232" t="s">
        <v>24</v>
      </c>
      <c r="D28" s="2">
        <v>1</v>
      </c>
      <c r="E28" s="4">
        <v>15.16</v>
      </c>
      <c r="F28" s="4">
        <f t="shared" si="1"/>
        <v>15.16</v>
      </c>
      <c r="G28" s="212"/>
      <c r="H28" s="212"/>
      <c r="I28" s="212"/>
      <c r="J28" s="212"/>
      <c r="K28" s="212"/>
    </row>
    <row r="29" spans="1:11" s="213" customFormat="1" x14ac:dyDescent="0.25">
      <c r="A29" s="232">
        <v>88323</v>
      </c>
      <c r="B29" s="12" t="s">
        <v>29</v>
      </c>
      <c r="C29" s="232" t="s">
        <v>24</v>
      </c>
      <c r="D29" s="2">
        <v>1</v>
      </c>
      <c r="E29" s="4">
        <v>22.33</v>
      </c>
      <c r="F29" s="4">
        <f t="shared" si="1"/>
        <v>22.33</v>
      </c>
      <c r="G29" s="212"/>
      <c r="H29" s="212"/>
      <c r="I29" s="212"/>
      <c r="J29" s="212"/>
      <c r="K29" s="212"/>
    </row>
    <row r="30" spans="1:11" s="213" customFormat="1" ht="31.5" x14ac:dyDescent="0.25">
      <c r="A30" s="232">
        <v>93281</v>
      </c>
      <c r="B30" s="12" t="s">
        <v>108</v>
      </c>
      <c r="C30" s="232" t="s">
        <v>9</v>
      </c>
      <c r="D30" s="2">
        <v>0.01</v>
      </c>
      <c r="E30" s="4">
        <v>15.2</v>
      </c>
      <c r="F30" s="4">
        <f t="shared" si="1"/>
        <v>0.152</v>
      </c>
      <c r="G30" s="212"/>
      <c r="H30" s="212"/>
      <c r="I30" s="212"/>
      <c r="J30" s="212"/>
      <c r="K30" s="212"/>
    </row>
    <row r="31" spans="1:11" s="213" customFormat="1" ht="31.5" x14ac:dyDescent="0.25">
      <c r="A31" s="232">
        <v>93282</v>
      </c>
      <c r="B31" s="12" t="s">
        <v>30</v>
      </c>
      <c r="C31" s="232" t="s">
        <v>31</v>
      </c>
      <c r="D31" s="2">
        <v>0.01</v>
      </c>
      <c r="E31" s="4">
        <v>14.19</v>
      </c>
      <c r="F31" s="4">
        <f t="shared" si="1"/>
        <v>0.1419</v>
      </c>
      <c r="G31" s="212"/>
      <c r="H31" s="212"/>
      <c r="I31" s="212"/>
      <c r="J31" s="212"/>
      <c r="K31" s="212"/>
    </row>
    <row r="32" spans="1:11" s="213" customFormat="1" ht="33" customHeight="1" x14ac:dyDescent="0.25">
      <c r="A32" s="220" t="s">
        <v>46</v>
      </c>
      <c r="B32" s="233" t="s">
        <v>110</v>
      </c>
      <c r="C32" s="220" t="s">
        <v>0</v>
      </c>
      <c r="D32" s="222"/>
      <c r="E32" s="223"/>
      <c r="F32" s="223">
        <f>SUM(F33:F36)</f>
        <v>36.411000000000001</v>
      </c>
      <c r="G32" s="212"/>
      <c r="H32" s="212"/>
      <c r="I32" s="212"/>
      <c r="J32" s="212"/>
      <c r="K32" s="212"/>
    </row>
    <row r="33" spans="1:11" s="213" customFormat="1" x14ac:dyDescent="0.25">
      <c r="A33" s="28" t="s">
        <v>86</v>
      </c>
      <c r="B33" s="16" t="s">
        <v>28</v>
      </c>
      <c r="C33" s="2" t="s">
        <v>24</v>
      </c>
      <c r="D33" s="3">
        <v>1</v>
      </c>
      <c r="E33" s="4">
        <v>15.16</v>
      </c>
      <c r="F33" s="4">
        <f>D33*E33</f>
        <v>15.16</v>
      </c>
      <c r="G33" s="212"/>
      <c r="H33" s="212"/>
      <c r="I33" s="212"/>
      <c r="J33" s="212"/>
      <c r="K33" s="212"/>
    </row>
    <row r="34" spans="1:11" s="213" customFormat="1" x14ac:dyDescent="0.25">
      <c r="A34" s="28">
        <v>88323</v>
      </c>
      <c r="B34" s="16" t="s">
        <v>29</v>
      </c>
      <c r="C34" s="2" t="s">
        <v>24</v>
      </c>
      <c r="D34" s="3">
        <v>1</v>
      </c>
      <c r="E34" s="49">
        <v>19.899999999999999</v>
      </c>
      <c r="F34" s="4">
        <f>D34*E34</f>
        <v>19.899999999999999</v>
      </c>
      <c r="G34" s="212"/>
      <c r="H34" s="212"/>
      <c r="I34" s="212"/>
      <c r="J34" s="212"/>
      <c r="K34" s="212"/>
    </row>
    <row r="35" spans="1:11" s="218" customFormat="1" ht="31.5" x14ac:dyDescent="0.25">
      <c r="A35" s="2">
        <v>92716</v>
      </c>
      <c r="B35" s="12" t="s">
        <v>101</v>
      </c>
      <c r="C35" s="2" t="s">
        <v>9</v>
      </c>
      <c r="D35" s="3">
        <v>0.05</v>
      </c>
      <c r="E35" s="49">
        <v>26.7</v>
      </c>
      <c r="F35" s="4">
        <f>D35*E35</f>
        <v>1.335</v>
      </c>
      <c r="G35" s="217"/>
      <c r="H35" s="217"/>
      <c r="I35" s="217"/>
      <c r="J35" s="217"/>
      <c r="K35" s="217"/>
    </row>
    <row r="36" spans="1:11" s="218" customFormat="1" ht="31.5" x14ac:dyDescent="0.25">
      <c r="A36" s="2">
        <v>92717</v>
      </c>
      <c r="B36" s="12" t="s">
        <v>102</v>
      </c>
      <c r="C36" s="2" t="s">
        <v>31</v>
      </c>
      <c r="D36" s="3">
        <v>0.05</v>
      </c>
      <c r="E36" s="49">
        <v>0.32</v>
      </c>
      <c r="F36" s="4">
        <f>D36*E36</f>
        <v>1.6E-2</v>
      </c>
      <c r="G36" s="217"/>
      <c r="H36" s="217"/>
      <c r="I36" s="217"/>
      <c r="J36" s="217"/>
      <c r="K36" s="217"/>
    </row>
    <row r="37" spans="1:11" s="213" customFormat="1" ht="31.5" customHeight="1" x14ac:dyDescent="0.25">
      <c r="A37" s="220" t="s">
        <v>48</v>
      </c>
      <c r="B37" s="233" t="s">
        <v>120</v>
      </c>
      <c r="C37" s="220" t="s">
        <v>25</v>
      </c>
      <c r="D37" s="222"/>
      <c r="E37" s="223"/>
      <c r="F37" s="223">
        <f>SUM(F38:F39)</f>
        <v>33.239999999999995</v>
      </c>
      <c r="G37" s="212"/>
      <c r="H37" s="212"/>
      <c r="I37" s="212"/>
      <c r="J37" s="212"/>
      <c r="K37" s="212"/>
    </row>
    <row r="38" spans="1:11" s="212" customFormat="1" x14ac:dyDescent="0.25">
      <c r="A38" s="1">
        <v>88248</v>
      </c>
      <c r="B38" s="12" t="s">
        <v>121</v>
      </c>
      <c r="C38" s="2" t="s">
        <v>24</v>
      </c>
      <c r="D38" s="3">
        <v>1</v>
      </c>
      <c r="E38" s="4">
        <v>14.52</v>
      </c>
      <c r="F38" s="4">
        <f t="shared" ref="F38:F39" si="2">D38*E38</f>
        <v>14.52</v>
      </c>
    </row>
    <row r="39" spans="1:11" s="212" customFormat="1" x14ac:dyDescent="0.25">
      <c r="A39" s="33">
        <v>88267</v>
      </c>
      <c r="B39" s="34" t="s">
        <v>122</v>
      </c>
      <c r="C39" s="30" t="s">
        <v>24</v>
      </c>
      <c r="D39" s="3">
        <v>1</v>
      </c>
      <c r="E39" s="49">
        <v>18.72</v>
      </c>
      <c r="F39" s="4">
        <f t="shared" si="2"/>
        <v>18.72</v>
      </c>
    </row>
    <row r="40" spans="1:11" s="213" customFormat="1" ht="31.5" customHeight="1" x14ac:dyDescent="0.25">
      <c r="A40" s="220" t="s">
        <v>54</v>
      </c>
      <c r="B40" s="233" t="s">
        <v>112</v>
      </c>
      <c r="C40" s="220" t="s">
        <v>0</v>
      </c>
      <c r="D40" s="222"/>
      <c r="E40" s="223"/>
      <c r="F40" s="223">
        <f>SUM(F41:F42)</f>
        <v>17.1325</v>
      </c>
      <c r="G40" s="212"/>
      <c r="H40" s="212"/>
      <c r="I40" s="212"/>
      <c r="J40" s="212"/>
      <c r="K40" s="212"/>
    </row>
    <row r="41" spans="1:11" s="213" customFormat="1" x14ac:dyDescent="0.25">
      <c r="A41" s="2">
        <v>88262</v>
      </c>
      <c r="B41" s="27" t="s">
        <v>70</v>
      </c>
      <c r="C41" s="2" t="s">
        <v>24</v>
      </c>
      <c r="D41" s="3">
        <v>0.35</v>
      </c>
      <c r="E41" s="4">
        <v>18.63</v>
      </c>
      <c r="F41" s="4">
        <f>D41*E41</f>
        <v>6.5204999999999993</v>
      </c>
      <c r="G41" s="212"/>
      <c r="H41" s="212"/>
      <c r="I41" s="212"/>
      <c r="J41" s="212"/>
      <c r="K41" s="212"/>
    </row>
    <row r="42" spans="1:11" s="213" customFormat="1" x14ac:dyDescent="0.25">
      <c r="A42" s="2">
        <v>88316</v>
      </c>
      <c r="B42" s="27" t="s">
        <v>28</v>
      </c>
      <c r="C42" s="2" t="s">
        <v>24</v>
      </c>
      <c r="D42" s="3">
        <v>0.7</v>
      </c>
      <c r="E42" s="49">
        <v>15.16</v>
      </c>
      <c r="F42" s="4">
        <f>D42*E42</f>
        <v>10.612</v>
      </c>
      <c r="G42" s="212"/>
      <c r="H42" s="212"/>
      <c r="I42" s="212"/>
      <c r="J42" s="212"/>
      <c r="K42" s="212"/>
    </row>
    <row r="43" spans="1:11" s="213" customFormat="1" ht="33" customHeight="1" x14ac:dyDescent="0.25">
      <c r="A43" s="220" t="s">
        <v>55</v>
      </c>
      <c r="B43" s="233" t="s">
        <v>223</v>
      </c>
      <c r="C43" s="220" t="s">
        <v>25</v>
      </c>
      <c r="D43" s="222"/>
      <c r="E43" s="223"/>
      <c r="F43" s="223">
        <f>SUM(F44:F53)</f>
        <v>841.83919999999989</v>
      </c>
      <c r="G43" s="212"/>
      <c r="H43" s="212"/>
      <c r="I43" s="212"/>
      <c r="J43" s="212"/>
      <c r="K43" s="212"/>
    </row>
    <row r="44" spans="1:11" s="213" customFormat="1" x14ac:dyDescent="0.25">
      <c r="A44" s="2">
        <v>88262</v>
      </c>
      <c r="B44" s="244" t="s">
        <v>70</v>
      </c>
      <c r="C44" s="2" t="s">
        <v>24</v>
      </c>
      <c r="D44" s="3">
        <v>1.6</v>
      </c>
      <c r="E44" s="4">
        <v>18.63</v>
      </c>
      <c r="F44" s="4">
        <f>D44*E44</f>
        <v>29.808</v>
      </c>
      <c r="G44" s="212"/>
      <c r="H44" s="212"/>
      <c r="I44" s="212"/>
      <c r="J44" s="212"/>
      <c r="K44" s="212"/>
    </row>
    <row r="45" spans="1:11" s="213" customFormat="1" x14ac:dyDescent="0.25">
      <c r="A45" s="2" t="s">
        <v>86</v>
      </c>
      <c r="B45" s="244" t="s">
        <v>28</v>
      </c>
      <c r="C45" s="2" t="s">
        <v>24</v>
      </c>
      <c r="D45" s="3">
        <v>2</v>
      </c>
      <c r="E45" s="49">
        <v>15.16</v>
      </c>
      <c r="F45" s="4">
        <f>D45*E45</f>
        <v>30.32</v>
      </c>
      <c r="G45" s="212"/>
      <c r="H45" s="212"/>
      <c r="I45" s="212"/>
      <c r="J45" s="212"/>
      <c r="K45" s="212"/>
    </row>
    <row r="46" spans="1:11" s="212" customFormat="1" ht="31.5" x14ac:dyDescent="0.25">
      <c r="A46" s="2">
        <v>4417</v>
      </c>
      <c r="B46" s="12" t="s">
        <v>114</v>
      </c>
      <c r="C46" s="2" t="s">
        <v>6</v>
      </c>
      <c r="D46" s="3">
        <v>18</v>
      </c>
      <c r="E46" s="49">
        <v>4.84</v>
      </c>
      <c r="F46" s="4">
        <f t="shared" ref="F46:F53" si="3">D46*E46</f>
        <v>87.12</v>
      </c>
    </row>
    <row r="47" spans="1:11" s="212" customFormat="1" ht="31.5" x14ac:dyDescent="0.25">
      <c r="A47" s="2">
        <v>4433</v>
      </c>
      <c r="B47" s="12" t="s">
        <v>115</v>
      </c>
      <c r="C47" s="2" t="s">
        <v>6</v>
      </c>
      <c r="D47" s="3">
        <v>16</v>
      </c>
      <c r="E47" s="49">
        <v>17.399999999999999</v>
      </c>
      <c r="F47" s="4">
        <f t="shared" si="3"/>
        <v>278.39999999999998</v>
      </c>
    </row>
    <row r="48" spans="1:11" s="212" customFormat="1" x14ac:dyDescent="0.25">
      <c r="A48" s="2">
        <v>5068</v>
      </c>
      <c r="B48" s="12" t="s">
        <v>116</v>
      </c>
      <c r="C48" s="2" t="s">
        <v>7</v>
      </c>
      <c r="D48" s="3">
        <v>1</v>
      </c>
      <c r="E48" s="49">
        <v>23.4</v>
      </c>
      <c r="F48" s="4">
        <f t="shared" si="3"/>
        <v>23.4</v>
      </c>
    </row>
    <row r="49" spans="1:6" s="212" customFormat="1" ht="31.5" x14ac:dyDescent="0.25">
      <c r="A49" s="2">
        <v>3992</v>
      </c>
      <c r="B49" s="12" t="s">
        <v>142</v>
      </c>
      <c r="C49" s="2" t="s">
        <v>6</v>
      </c>
      <c r="D49" s="3">
        <v>16</v>
      </c>
      <c r="E49" s="49">
        <v>20.65</v>
      </c>
      <c r="F49" s="4">
        <f t="shared" si="3"/>
        <v>330.4</v>
      </c>
    </row>
    <row r="50" spans="1:6" s="212" customFormat="1" x14ac:dyDescent="0.25">
      <c r="A50" s="2">
        <v>88239</v>
      </c>
      <c r="B50" s="12" t="s">
        <v>117</v>
      </c>
      <c r="C50" s="2" t="s">
        <v>24</v>
      </c>
      <c r="D50" s="3">
        <v>2</v>
      </c>
      <c r="E50" s="49">
        <v>15.71</v>
      </c>
      <c r="F50" s="4">
        <f t="shared" si="3"/>
        <v>31.42</v>
      </c>
    </row>
    <row r="51" spans="1:6" s="212" customFormat="1" x14ac:dyDescent="0.25">
      <c r="A51" s="2" t="s">
        <v>113</v>
      </c>
      <c r="B51" s="12" t="s">
        <v>70</v>
      </c>
      <c r="C51" s="2" t="s">
        <v>24</v>
      </c>
      <c r="D51" s="3">
        <v>1.6</v>
      </c>
      <c r="E51" s="49">
        <v>18.63</v>
      </c>
      <c r="F51" s="4">
        <f t="shared" si="3"/>
        <v>29.808</v>
      </c>
    </row>
    <row r="52" spans="1:6" s="212" customFormat="1" ht="31.5" x14ac:dyDescent="0.25">
      <c r="A52" s="2">
        <v>91692</v>
      </c>
      <c r="B52" s="12" t="s">
        <v>118</v>
      </c>
      <c r="C52" s="2" t="s">
        <v>9</v>
      </c>
      <c r="D52" s="3">
        <v>0.05</v>
      </c>
      <c r="E52" s="49">
        <v>17.46</v>
      </c>
      <c r="F52" s="4">
        <f t="shared" si="3"/>
        <v>0.87300000000000011</v>
      </c>
    </row>
    <row r="53" spans="1:6" s="212" customFormat="1" ht="31.5" x14ac:dyDescent="0.25">
      <c r="A53" s="2">
        <v>91693</v>
      </c>
      <c r="B53" s="12" t="s">
        <v>119</v>
      </c>
      <c r="C53" s="2" t="s">
        <v>31</v>
      </c>
      <c r="D53" s="3">
        <v>0.02</v>
      </c>
      <c r="E53" s="49">
        <v>14.51</v>
      </c>
      <c r="F53" s="4">
        <f t="shared" si="3"/>
        <v>0.29020000000000001</v>
      </c>
    </row>
    <row r="54" spans="1:6" s="212" customFormat="1" ht="32.25" customHeight="1" x14ac:dyDescent="0.25">
      <c r="A54" s="220" t="s">
        <v>56</v>
      </c>
      <c r="B54" s="221" t="s">
        <v>139</v>
      </c>
      <c r="C54" s="220" t="s">
        <v>25</v>
      </c>
      <c r="D54" s="222"/>
      <c r="E54" s="223"/>
      <c r="F54" s="223">
        <f>SUM(F55:F58)</f>
        <v>82.909115999999983</v>
      </c>
    </row>
    <row r="55" spans="1:6" s="39" customFormat="1" ht="19.5" customHeight="1" x14ac:dyDescent="0.25">
      <c r="A55" s="1">
        <v>142</v>
      </c>
      <c r="B55" s="15" t="s">
        <v>26</v>
      </c>
      <c r="C55" s="2" t="s">
        <v>27</v>
      </c>
      <c r="D55" s="3">
        <v>0.88290000000000002</v>
      </c>
      <c r="E55" s="49">
        <v>26.04</v>
      </c>
      <c r="F55" s="4">
        <f>D55*E55</f>
        <v>22.990715999999999</v>
      </c>
    </row>
    <row r="56" spans="1:6" s="39" customFormat="1" x14ac:dyDescent="0.25">
      <c r="A56" s="29">
        <v>88309</v>
      </c>
      <c r="B56" s="16" t="s">
        <v>76</v>
      </c>
      <c r="C56" s="2" t="s">
        <v>24</v>
      </c>
      <c r="D56" s="3">
        <v>1.44</v>
      </c>
      <c r="E56" s="4">
        <v>18.86</v>
      </c>
      <c r="F56" s="4">
        <f t="shared" ref="F56:F58" si="4">D56*E56</f>
        <v>27.158399999999997</v>
      </c>
    </row>
    <row r="57" spans="1:6" s="39" customFormat="1" x14ac:dyDescent="0.25">
      <c r="A57" s="29">
        <v>88316</v>
      </c>
      <c r="B57" s="16" t="s">
        <v>28</v>
      </c>
      <c r="C57" s="2" t="s">
        <v>24</v>
      </c>
      <c r="D57" s="31">
        <v>2</v>
      </c>
      <c r="E57" s="32">
        <v>15.16</v>
      </c>
      <c r="F57" s="4">
        <f t="shared" si="4"/>
        <v>30.32</v>
      </c>
    </row>
    <row r="58" spans="1:6" s="39" customFormat="1" ht="31.5" x14ac:dyDescent="0.25">
      <c r="A58" s="33">
        <v>7568</v>
      </c>
      <c r="B58" s="35" t="s">
        <v>138</v>
      </c>
      <c r="C58" s="30" t="s">
        <v>106</v>
      </c>
      <c r="D58" s="31">
        <v>4</v>
      </c>
      <c r="E58" s="32">
        <v>0.61</v>
      </c>
      <c r="F58" s="4">
        <f t="shared" si="4"/>
        <v>2.44</v>
      </c>
    </row>
    <row r="59" spans="1:6" s="212" customFormat="1" ht="27" customHeight="1" x14ac:dyDescent="0.25">
      <c r="A59" s="220" t="s">
        <v>71</v>
      </c>
      <c r="B59" s="221" t="s">
        <v>80</v>
      </c>
      <c r="C59" s="220" t="s">
        <v>0</v>
      </c>
      <c r="D59" s="222"/>
      <c r="E59" s="223"/>
      <c r="F59" s="223">
        <f>SUM(F60:F63)</f>
        <v>757.16180000000008</v>
      </c>
    </row>
    <row r="60" spans="1:6" s="39" customFormat="1" x14ac:dyDescent="0.25">
      <c r="A60" s="1">
        <v>99803</v>
      </c>
      <c r="B60" s="15" t="s">
        <v>81</v>
      </c>
      <c r="C60" s="2" t="s">
        <v>33</v>
      </c>
      <c r="D60" s="3">
        <v>134.9</v>
      </c>
      <c r="E60" s="4">
        <v>1.47</v>
      </c>
      <c r="F60" s="4">
        <f>E60*D60</f>
        <v>198.303</v>
      </c>
    </row>
    <row r="61" spans="1:6" s="39" customFormat="1" x14ac:dyDescent="0.25">
      <c r="A61" s="1">
        <v>99806</v>
      </c>
      <c r="B61" s="15" t="s">
        <v>82</v>
      </c>
      <c r="C61" s="2" t="s">
        <v>33</v>
      </c>
      <c r="D61" s="3">
        <v>177.08</v>
      </c>
      <c r="E61" s="4">
        <v>0.6</v>
      </c>
      <c r="F61" s="4">
        <f>E61*D61</f>
        <v>106.248</v>
      </c>
    </row>
    <row r="62" spans="1:6" s="39" customFormat="1" x14ac:dyDescent="0.25">
      <c r="A62" s="1">
        <v>99814</v>
      </c>
      <c r="B62" s="15" t="s">
        <v>83</v>
      </c>
      <c r="C62" s="2" t="s">
        <v>33</v>
      </c>
      <c r="D62" s="3">
        <f>134.9+20.3+177.08</f>
        <v>332.28000000000003</v>
      </c>
      <c r="E62" s="4">
        <v>1.36</v>
      </c>
      <c r="F62" s="4">
        <f>E62*D62</f>
        <v>451.90080000000006</v>
      </c>
    </row>
    <row r="63" spans="1:6" s="39" customFormat="1" x14ac:dyDescent="0.25">
      <c r="A63" s="1">
        <v>99822</v>
      </c>
      <c r="B63" s="15" t="s">
        <v>84</v>
      </c>
      <c r="C63" s="2" t="s">
        <v>33</v>
      </c>
      <c r="D63" s="3">
        <v>1</v>
      </c>
      <c r="E63" s="4">
        <v>0.71</v>
      </c>
      <c r="F63" s="4">
        <f>E63*D63</f>
        <v>0.71</v>
      </c>
    </row>
    <row r="64" spans="1:6" s="39" customFormat="1" x14ac:dyDescent="0.25">
      <c r="A64" s="42"/>
      <c r="B64" s="37"/>
      <c r="C64" s="40"/>
      <c r="D64" s="38"/>
      <c r="E64" s="41"/>
      <c r="F64" s="41"/>
    </row>
    <row r="65" spans="1:6" s="39" customFormat="1" ht="31.5" customHeight="1" x14ac:dyDescent="0.25">
      <c r="A65" s="220" t="s">
        <v>161</v>
      </c>
      <c r="B65" s="221" t="s">
        <v>148</v>
      </c>
      <c r="C65" s="220" t="s">
        <v>0</v>
      </c>
      <c r="D65" s="222"/>
      <c r="E65" s="223"/>
      <c r="F65" s="223">
        <f>SUM(F66:F74)</f>
        <v>51.980041000000007</v>
      </c>
    </row>
    <row r="66" spans="1:6" s="39" customFormat="1" x14ac:dyDescent="0.25">
      <c r="A66" s="1">
        <v>142</v>
      </c>
      <c r="B66" s="27" t="s">
        <v>149</v>
      </c>
      <c r="C66" s="2" t="s">
        <v>27</v>
      </c>
      <c r="D66" s="2">
        <v>0.18</v>
      </c>
      <c r="E66" s="4">
        <v>26.04</v>
      </c>
      <c r="F66" s="4">
        <f>D66*E66</f>
        <v>4.6871999999999998</v>
      </c>
    </row>
    <row r="67" spans="1:6" x14ac:dyDescent="0.25">
      <c r="A67" s="1">
        <v>5061</v>
      </c>
      <c r="B67" s="27" t="s">
        <v>150</v>
      </c>
      <c r="C67" s="2" t="s">
        <v>7</v>
      </c>
      <c r="D67" s="1">
        <v>6.0000000000000001E-3</v>
      </c>
      <c r="E67" s="4">
        <v>23</v>
      </c>
      <c r="F67" s="4">
        <f t="shared" ref="F67:F74" si="5">D67*E67</f>
        <v>0.13800000000000001</v>
      </c>
    </row>
    <row r="68" spans="1:6" x14ac:dyDescent="0.25">
      <c r="A68" s="1">
        <v>5104</v>
      </c>
      <c r="B68" s="27" t="s">
        <v>151</v>
      </c>
      <c r="C68" s="2" t="s">
        <v>7</v>
      </c>
      <c r="D68" s="1">
        <v>1.1999999999999999E-3</v>
      </c>
      <c r="E68" s="4">
        <v>74.42</v>
      </c>
      <c r="F68" s="4">
        <f t="shared" si="5"/>
        <v>8.9303999999999994E-2</v>
      </c>
    </row>
    <row r="69" spans="1:6" x14ac:dyDescent="0.25">
      <c r="A69" s="1">
        <v>13388</v>
      </c>
      <c r="B69" s="27" t="s">
        <v>152</v>
      </c>
      <c r="C69" s="2" t="s">
        <v>7</v>
      </c>
      <c r="D69" s="1">
        <v>0.03</v>
      </c>
      <c r="E69" s="4">
        <v>125.11</v>
      </c>
      <c r="F69" s="4">
        <f t="shared" si="5"/>
        <v>3.7532999999999999</v>
      </c>
    </row>
    <row r="70" spans="1:6" x14ac:dyDescent="0.25">
      <c r="A70" s="1">
        <v>40873</v>
      </c>
      <c r="B70" s="27" t="s">
        <v>153</v>
      </c>
      <c r="C70" s="2" t="s">
        <v>6</v>
      </c>
      <c r="D70" s="1">
        <v>1.05</v>
      </c>
      <c r="E70" s="4">
        <v>35.700000000000003</v>
      </c>
      <c r="F70" s="4">
        <f t="shared" si="5"/>
        <v>37.485000000000007</v>
      </c>
    </row>
    <row r="71" spans="1:6" x14ac:dyDescent="0.25">
      <c r="A71" s="1">
        <v>88316</v>
      </c>
      <c r="B71" s="27" t="s">
        <v>28</v>
      </c>
      <c r="C71" s="2" t="s">
        <v>24</v>
      </c>
      <c r="D71" s="1">
        <v>0.20699999999999999</v>
      </c>
      <c r="E71" s="4">
        <v>15.16</v>
      </c>
      <c r="F71" s="4">
        <f t="shared" si="5"/>
        <v>3.1381199999999998</v>
      </c>
    </row>
    <row r="72" spans="1:6" x14ac:dyDescent="0.25">
      <c r="A72" s="1">
        <v>88323</v>
      </c>
      <c r="B72" s="27" t="s">
        <v>29</v>
      </c>
      <c r="C72" s="2" t="s">
        <v>24</v>
      </c>
      <c r="D72" s="1">
        <v>0.112</v>
      </c>
      <c r="E72" s="4">
        <v>19.899999999999999</v>
      </c>
      <c r="F72" s="4">
        <f t="shared" si="5"/>
        <v>2.2287999999999997</v>
      </c>
    </row>
    <row r="73" spans="1:6" x14ac:dyDescent="0.25">
      <c r="A73" s="1">
        <v>93281</v>
      </c>
      <c r="B73" s="27" t="s">
        <v>108</v>
      </c>
      <c r="C73" s="2" t="s">
        <v>9</v>
      </c>
      <c r="D73" s="1">
        <v>1.32E-2</v>
      </c>
      <c r="E73" s="4">
        <v>15.2</v>
      </c>
      <c r="F73" s="4">
        <f t="shared" si="5"/>
        <v>0.20063999999999999</v>
      </c>
    </row>
    <row r="74" spans="1:6" x14ac:dyDescent="0.25">
      <c r="A74" s="1">
        <v>93282</v>
      </c>
      <c r="B74" s="27" t="s">
        <v>30</v>
      </c>
      <c r="C74" s="2" t="s">
        <v>31</v>
      </c>
      <c r="D74" s="1">
        <v>1.83E-2</v>
      </c>
      <c r="E74" s="4">
        <v>14.19</v>
      </c>
      <c r="F74" s="4">
        <f t="shared" si="5"/>
        <v>0.25967699999999999</v>
      </c>
    </row>
    <row r="75" spans="1:6" s="234" customFormat="1" ht="31.5" customHeight="1" x14ac:dyDescent="0.25">
      <c r="A75" s="226" t="s">
        <v>162</v>
      </c>
      <c r="B75" s="227" t="s">
        <v>163</v>
      </c>
      <c r="C75" s="230" t="s">
        <v>0</v>
      </c>
      <c r="D75" s="228"/>
      <c r="E75" s="231"/>
      <c r="F75" s="223">
        <f>SUM(F76:F77)</f>
        <v>2.1558000000000002</v>
      </c>
    </row>
    <row r="76" spans="1:6" s="234" customFormat="1" x14ac:dyDescent="0.25">
      <c r="A76" s="29">
        <v>88309</v>
      </c>
      <c r="B76" s="16" t="s">
        <v>76</v>
      </c>
      <c r="C76" s="2" t="s">
        <v>24</v>
      </c>
      <c r="D76" s="7">
        <v>0.05</v>
      </c>
      <c r="E76" s="8">
        <v>18.86</v>
      </c>
      <c r="F76" s="54">
        <f>E76*D76</f>
        <v>0.94300000000000006</v>
      </c>
    </row>
    <row r="77" spans="1:6" s="234" customFormat="1" x14ac:dyDescent="0.25">
      <c r="A77" s="29" t="s">
        <v>86</v>
      </c>
      <c r="B77" s="16" t="s">
        <v>28</v>
      </c>
      <c r="C77" s="2" t="s">
        <v>24</v>
      </c>
      <c r="D77" s="7">
        <v>0.08</v>
      </c>
      <c r="E77" s="8">
        <v>15.16</v>
      </c>
      <c r="F77" s="54">
        <f>E77*D77</f>
        <v>1.2128000000000001</v>
      </c>
    </row>
    <row r="78" spans="1:6" s="234" customFormat="1" ht="29.25" customHeight="1" x14ac:dyDescent="0.25">
      <c r="A78" s="220" t="s">
        <v>178</v>
      </c>
      <c r="B78" s="233" t="s">
        <v>176</v>
      </c>
      <c r="C78" s="220"/>
      <c r="D78" s="222"/>
      <c r="E78" s="223"/>
      <c r="F78" s="223">
        <f>SUM(F79:F80)</f>
        <v>4.7460000000000004</v>
      </c>
    </row>
    <row r="79" spans="1:6" s="234" customFormat="1" x14ac:dyDescent="0.25">
      <c r="A79" s="1">
        <v>88310</v>
      </c>
      <c r="B79" s="177" t="s">
        <v>177</v>
      </c>
      <c r="C79" s="2" t="s">
        <v>24</v>
      </c>
      <c r="D79" s="3">
        <v>0.2</v>
      </c>
      <c r="E79" s="4">
        <v>19.940000000000001</v>
      </c>
      <c r="F79" s="4">
        <f t="shared" ref="F79:F80" si="6">D79*E79</f>
        <v>3.9880000000000004</v>
      </c>
    </row>
    <row r="80" spans="1:6" s="234" customFormat="1" x14ac:dyDescent="0.25">
      <c r="A80" s="1">
        <v>88316</v>
      </c>
      <c r="B80" s="177" t="s">
        <v>28</v>
      </c>
      <c r="C80" s="2" t="s">
        <v>24</v>
      </c>
      <c r="D80" s="3">
        <v>0.05</v>
      </c>
      <c r="E80" s="49">
        <v>15.16</v>
      </c>
      <c r="F80" s="4">
        <f t="shared" si="6"/>
        <v>0.75800000000000001</v>
      </c>
    </row>
    <row r="81" spans="1:6" ht="30" x14ac:dyDescent="0.25">
      <c r="A81" s="235" t="s">
        <v>182</v>
      </c>
      <c r="B81" s="236" t="s">
        <v>173</v>
      </c>
      <c r="C81" s="237" t="s">
        <v>0</v>
      </c>
      <c r="D81" s="238"/>
      <c r="E81" s="239"/>
      <c r="F81" s="240">
        <f>SUM(F82:F84)</f>
        <v>10.96582888888889</v>
      </c>
    </row>
    <row r="82" spans="1:6" ht="15" x14ac:dyDescent="0.25">
      <c r="A82" s="187" t="s">
        <v>179</v>
      </c>
      <c r="B82" s="188" t="s">
        <v>180</v>
      </c>
      <c r="C82" s="187" t="s">
        <v>181</v>
      </c>
      <c r="D82" s="189">
        <v>0.2</v>
      </c>
      <c r="E82" s="190">
        <f>557.99/18</f>
        <v>30.999444444444446</v>
      </c>
      <c r="F82" s="190">
        <f>D82*E82</f>
        <v>6.1998888888888892</v>
      </c>
    </row>
    <row r="83" spans="1:6" ht="15" x14ac:dyDescent="0.25">
      <c r="A83" s="191">
        <v>88310</v>
      </c>
      <c r="B83" s="188" t="s">
        <v>177</v>
      </c>
      <c r="C83" s="187" t="s">
        <v>24</v>
      </c>
      <c r="D83" s="189">
        <v>0.20100000000000001</v>
      </c>
      <c r="E83" s="190">
        <v>19.940000000000001</v>
      </c>
      <c r="F83" s="190">
        <f t="shared" ref="F83:F84" si="7">D83*E83</f>
        <v>4.0079400000000005</v>
      </c>
    </row>
    <row r="84" spans="1:6" ht="15" x14ac:dyDescent="0.25">
      <c r="A84" s="191">
        <v>88316</v>
      </c>
      <c r="B84" s="188" t="s">
        <v>28</v>
      </c>
      <c r="C84" s="187" t="s">
        <v>24</v>
      </c>
      <c r="D84" s="189">
        <v>0.05</v>
      </c>
      <c r="E84" s="190">
        <v>15.16</v>
      </c>
      <c r="F84" s="190">
        <f t="shared" si="7"/>
        <v>0.75800000000000001</v>
      </c>
    </row>
    <row r="85" spans="1:6" ht="30" x14ac:dyDescent="0.25">
      <c r="A85" s="235" t="s">
        <v>183</v>
      </c>
      <c r="B85" s="236" t="s">
        <v>188</v>
      </c>
      <c r="C85" s="235" t="s">
        <v>0</v>
      </c>
      <c r="D85" s="241"/>
      <c r="E85" s="240"/>
      <c r="F85" s="240">
        <f>SUM(F86:F89)</f>
        <v>23.959704444444448</v>
      </c>
    </row>
    <row r="86" spans="1:6" ht="15" x14ac:dyDescent="0.25">
      <c r="A86" s="191">
        <v>88310</v>
      </c>
      <c r="B86" s="188" t="s">
        <v>177</v>
      </c>
      <c r="C86" s="187" t="s">
        <v>24</v>
      </c>
      <c r="D86" s="189">
        <v>0.2</v>
      </c>
      <c r="E86" s="190">
        <v>19.940000000000001</v>
      </c>
      <c r="F86" s="190">
        <f>D86*E86</f>
        <v>3.9880000000000004</v>
      </c>
    </row>
    <row r="87" spans="1:6" ht="15" x14ac:dyDescent="0.25">
      <c r="A87" s="191">
        <v>88316</v>
      </c>
      <c r="B87" s="188" t="s">
        <v>28</v>
      </c>
      <c r="C87" s="187" t="s">
        <v>24</v>
      </c>
      <c r="D87" s="189">
        <v>7.5999999999999998E-2</v>
      </c>
      <c r="E87" s="190">
        <v>15.16</v>
      </c>
      <c r="F87" s="190">
        <f t="shared" ref="F87:F89" si="8">D87*E87</f>
        <v>1.1521600000000001</v>
      </c>
    </row>
    <row r="88" spans="1:6" ht="15" x14ac:dyDescent="0.25">
      <c r="A88" s="187">
        <v>34546</v>
      </c>
      <c r="B88" s="242" t="s">
        <v>186</v>
      </c>
      <c r="C88" s="187" t="s">
        <v>189</v>
      </c>
      <c r="D88" s="189">
        <v>1.93</v>
      </c>
      <c r="E88" s="190">
        <v>5.37</v>
      </c>
      <c r="F88" s="190">
        <f t="shared" si="8"/>
        <v>10.364100000000001</v>
      </c>
    </row>
    <row r="89" spans="1:6" ht="15" x14ac:dyDescent="0.25">
      <c r="A89" s="187" t="s">
        <v>179</v>
      </c>
      <c r="B89" s="188" t="s">
        <v>187</v>
      </c>
      <c r="C89" s="187" t="s">
        <v>181</v>
      </c>
      <c r="D89" s="189">
        <v>0.2</v>
      </c>
      <c r="E89" s="190">
        <f>760.99/18</f>
        <v>42.277222222222221</v>
      </c>
      <c r="F89" s="190">
        <f t="shared" si="8"/>
        <v>8.4554444444444439</v>
      </c>
    </row>
    <row r="90" spans="1:6" ht="30" x14ac:dyDescent="0.25">
      <c r="A90" s="235" t="s">
        <v>192</v>
      </c>
      <c r="B90" s="236" t="s">
        <v>185</v>
      </c>
      <c r="C90" s="235" t="s">
        <v>0</v>
      </c>
      <c r="D90" s="241"/>
      <c r="E90" s="240"/>
      <c r="F90" s="240">
        <f>SUM(F91:F94)</f>
        <v>30.559704444444449</v>
      </c>
    </row>
    <row r="91" spans="1:6" ht="15" x14ac:dyDescent="0.25">
      <c r="A91" s="191">
        <v>88310</v>
      </c>
      <c r="B91" s="188" t="s">
        <v>177</v>
      </c>
      <c r="C91" s="187" t="s">
        <v>24</v>
      </c>
      <c r="D91" s="189">
        <v>0.2</v>
      </c>
      <c r="E91" s="190">
        <v>19.940000000000001</v>
      </c>
      <c r="F91" s="190">
        <f>D91*E91</f>
        <v>3.9880000000000004</v>
      </c>
    </row>
    <row r="92" spans="1:6" ht="15" x14ac:dyDescent="0.25">
      <c r="A92" s="191">
        <v>88316</v>
      </c>
      <c r="B92" s="188" t="s">
        <v>28</v>
      </c>
      <c r="C92" s="187" t="s">
        <v>24</v>
      </c>
      <c r="D92" s="189">
        <v>7.5999999999999998E-2</v>
      </c>
      <c r="E92" s="190">
        <v>15.16</v>
      </c>
      <c r="F92" s="190">
        <f t="shared" ref="F92:F94" si="9">D92*E92</f>
        <v>1.1521600000000001</v>
      </c>
    </row>
    <row r="93" spans="1:6" ht="15" x14ac:dyDescent="0.25">
      <c r="A93" s="187">
        <v>34546</v>
      </c>
      <c r="B93" s="242" t="s">
        <v>186</v>
      </c>
      <c r="C93" s="187" t="s">
        <v>7</v>
      </c>
      <c r="D93" s="189">
        <v>1.93</v>
      </c>
      <c r="E93" s="190">
        <v>5.37</v>
      </c>
      <c r="F93" s="190">
        <f t="shared" si="9"/>
        <v>10.364100000000001</v>
      </c>
    </row>
    <row r="94" spans="1:6" ht="15" x14ac:dyDescent="0.25">
      <c r="A94" s="187" t="s">
        <v>179</v>
      </c>
      <c r="B94" s="188" t="s">
        <v>187</v>
      </c>
      <c r="C94" s="187" t="s">
        <v>181</v>
      </c>
      <c r="D94" s="189">
        <v>0.2</v>
      </c>
      <c r="E94" s="190">
        <f>1354.99/18</f>
        <v>75.277222222222221</v>
      </c>
      <c r="F94" s="190">
        <f t="shared" si="9"/>
        <v>15.055444444444445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="110" zoomScaleNormal="100" zoomScaleSheetLayoutView="110" workbookViewId="0">
      <selection activeCell="B15" sqref="B15"/>
    </sheetView>
  </sheetViews>
  <sheetFormatPr defaultColWidth="9.140625" defaultRowHeight="19.7" customHeight="1" x14ac:dyDescent="0.25"/>
  <cols>
    <col min="1" max="1" width="10.28515625" style="367" bestFit="1" customWidth="1"/>
    <col min="2" max="2" width="46.28515625" style="367" customWidth="1"/>
    <col min="3" max="3" width="13.42578125" style="367" bestFit="1" customWidth="1"/>
    <col min="4" max="7" width="12.140625" style="367" customWidth="1"/>
    <col min="8" max="8" width="14.7109375" style="367" customWidth="1"/>
    <col min="9" max="16384" width="9.140625" style="367"/>
  </cols>
  <sheetData>
    <row r="1" spans="1:9" ht="12.75" x14ac:dyDescent="0.25">
      <c r="A1" s="392" t="s">
        <v>258</v>
      </c>
      <c r="B1" s="393"/>
      <c r="C1" s="393"/>
      <c r="D1" s="393"/>
      <c r="E1" s="393"/>
      <c r="F1" s="393"/>
      <c r="G1" s="393"/>
      <c r="H1" s="394"/>
    </row>
    <row r="2" spans="1:9" ht="12.75" x14ac:dyDescent="0.25">
      <c r="A2" s="395"/>
      <c r="B2" s="374"/>
      <c r="C2" s="374"/>
      <c r="D2" s="374"/>
      <c r="E2" s="374"/>
      <c r="F2" s="374"/>
      <c r="G2" s="374"/>
      <c r="H2" s="396"/>
    </row>
    <row r="3" spans="1:9" ht="12.75" x14ac:dyDescent="0.25">
      <c r="A3" s="395"/>
      <c r="B3" s="374"/>
      <c r="C3" s="374"/>
      <c r="D3" s="374"/>
      <c r="E3" s="374"/>
      <c r="F3" s="374"/>
      <c r="G3" s="374"/>
      <c r="H3" s="396"/>
    </row>
    <row r="4" spans="1:9" ht="12.75" x14ac:dyDescent="0.25">
      <c r="A4" s="395"/>
      <c r="B4" s="374"/>
      <c r="C4" s="374"/>
      <c r="D4" s="374"/>
      <c r="E4" s="374"/>
      <c r="F4" s="374"/>
      <c r="G4" s="374"/>
      <c r="H4" s="396"/>
    </row>
    <row r="5" spans="1:9" ht="12.75" x14ac:dyDescent="0.25">
      <c r="A5" s="395"/>
      <c r="B5" s="374"/>
      <c r="C5" s="374"/>
      <c r="D5" s="374"/>
      <c r="E5" s="374"/>
      <c r="F5" s="374"/>
      <c r="G5" s="374"/>
      <c r="H5" s="396"/>
    </row>
    <row r="6" spans="1:9" s="368" customFormat="1" ht="13.5" customHeight="1" x14ac:dyDescent="0.25">
      <c r="A6" s="397" t="s">
        <v>225</v>
      </c>
      <c r="B6" s="376" t="s">
        <v>267</v>
      </c>
      <c r="C6" s="376"/>
      <c r="D6" s="376"/>
      <c r="E6" s="376"/>
      <c r="F6" s="376"/>
      <c r="G6" s="377" t="s">
        <v>268</v>
      </c>
      <c r="H6" s="398" t="s">
        <v>269</v>
      </c>
    </row>
    <row r="7" spans="1:9" s="368" customFormat="1" ht="13.5" customHeight="1" x14ac:dyDescent="0.25">
      <c r="A7" s="397" t="s">
        <v>226</v>
      </c>
      <c r="B7" s="376" t="s">
        <v>274</v>
      </c>
      <c r="C7" s="376"/>
      <c r="D7" s="376"/>
      <c r="E7" s="376"/>
      <c r="F7" s="376"/>
      <c r="G7" s="377"/>
      <c r="H7" s="398"/>
    </row>
    <row r="8" spans="1:9" s="368" customFormat="1" ht="13.5" customHeight="1" x14ac:dyDescent="0.25">
      <c r="A8" s="397" t="s">
        <v>227</v>
      </c>
      <c r="B8" s="376" t="s">
        <v>265</v>
      </c>
      <c r="C8" s="376"/>
      <c r="D8" s="376"/>
      <c r="E8" s="376"/>
      <c r="F8" s="376"/>
      <c r="G8" s="377" t="str">
        <f>[4]RESUMO!C8</f>
        <v>BDI:</v>
      </c>
      <c r="H8" s="399">
        <v>0.28349999999999997</v>
      </c>
    </row>
    <row r="9" spans="1:9" s="368" customFormat="1" ht="13.5" customHeight="1" thickBot="1" x14ac:dyDescent="0.3">
      <c r="A9" s="400" t="s">
        <v>228</v>
      </c>
      <c r="B9" s="401" t="s">
        <v>266</v>
      </c>
      <c r="C9" s="401"/>
      <c r="D9" s="401"/>
      <c r="E9" s="401"/>
      <c r="F9" s="401"/>
      <c r="G9" s="402"/>
      <c r="H9" s="403"/>
    </row>
    <row r="10" spans="1:9" ht="12.75" x14ac:dyDescent="0.25">
      <c r="A10" s="391"/>
      <c r="B10" s="391"/>
      <c r="C10" s="391"/>
      <c r="D10" s="391"/>
      <c r="E10" s="391"/>
      <c r="F10" s="391"/>
      <c r="G10" s="391"/>
      <c r="H10" s="391"/>
      <c r="I10" s="369"/>
    </row>
    <row r="11" spans="1:9" ht="19.7" customHeight="1" x14ac:dyDescent="0.25">
      <c r="A11" s="378" t="s">
        <v>229</v>
      </c>
      <c r="B11" s="378" t="s">
        <v>259</v>
      </c>
      <c r="C11" s="378" t="s">
        <v>260</v>
      </c>
      <c r="D11" s="378" t="s">
        <v>261</v>
      </c>
      <c r="E11" s="378" t="s">
        <v>262</v>
      </c>
      <c r="F11" s="378" t="s">
        <v>261</v>
      </c>
      <c r="G11" s="378" t="s">
        <v>261</v>
      </c>
      <c r="H11" s="378" t="s">
        <v>92</v>
      </c>
    </row>
    <row r="12" spans="1:9" ht="17.100000000000001" customHeight="1" x14ac:dyDescent="0.25">
      <c r="A12" s="379">
        <f>'P. Referência'!B8</f>
        <v>1</v>
      </c>
      <c r="B12" s="380" t="str">
        <f>'P. Referência'!D8</f>
        <v>ADMINISTRAÇÃO DA OBRA</v>
      </c>
      <c r="C12" s="370">
        <f>'P. Referência'!I11</f>
        <v>4729.6399999999994</v>
      </c>
      <c r="D12" s="381">
        <v>1</v>
      </c>
      <c r="E12" s="370">
        <f>$C12*F12</f>
        <v>4729.6399999999994</v>
      </c>
      <c r="F12" s="382">
        <v>1</v>
      </c>
      <c r="G12" s="382">
        <f>F12</f>
        <v>1</v>
      </c>
      <c r="H12" s="371">
        <f>E12</f>
        <v>4729.6399999999994</v>
      </c>
    </row>
    <row r="13" spans="1:9" ht="17.100000000000001" customHeight="1" x14ac:dyDescent="0.25">
      <c r="A13" s="379">
        <f>'P. Referência'!B13</f>
        <v>2</v>
      </c>
      <c r="B13" s="380" t="str">
        <f>'P. Referência'!D13</f>
        <v>SERVIÇOS PRELIMINARES</v>
      </c>
      <c r="C13" s="370">
        <f>'P. Referência'!I17</f>
        <v>1896.38</v>
      </c>
      <c r="D13" s="381">
        <v>1</v>
      </c>
      <c r="E13" s="370">
        <f t="shared" ref="E13:E20" si="0">$C13*F13</f>
        <v>1896.38</v>
      </c>
      <c r="F13" s="382">
        <v>1</v>
      </c>
      <c r="G13" s="382">
        <f t="shared" ref="G13:G20" si="1">F13</f>
        <v>1</v>
      </c>
      <c r="H13" s="371">
        <f t="shared" ref="H13:H20" si="2">E13</f>
        <v>1896.38</v>
      </c>
    </row>
    <row r="14" spans="1:9" ht="17.100000000000001" customHeight="1" x14ac:dyDescent="0.25">
      <c r="A14" s="379">
        <f>'P. Referência'!B19</f>
        <v>3</v>
      </c>
      <c r="B14" s="380" t="str">
        <f>'P. Referência'!D19</f>
        <v>MOBILIZAÇÃO E DESMOBILIZAÇÃO DE OBRA</v>
      </c>
      <c r="C14" s="370">
        <f>'P. Referência'!I22</f>
        <v>1994.34</v>
      </c>
      <c r="D14" s="381">
        <v>1</v>
      </c>
      <c r="E14" s="370">
        <f t="shared" si="0"/>
        <v>1994.34</v>
      </c>
      <c r="F14" s="382">
        <v>1</v>
      </c>
      <c r="G14" s="382">
        <f t="shared" si="1"/>
        <v>1</v>
      </c>
      <c r="H14" s="371">
        <f t="shared" si="2"/>
        <v>1994.34</v>
      </c>
    </row>
    <row r="15" spans="1:9" ht="17.100000000000001" customHeight="1" x14ac:dyDescent="0.25">
      <c r="A15" s="379">
        <f>'P. Referência'!B24</f>
        <v>4</v>
      </c>
      <c r="B15" s="380" t="str">
        <f>'P. Referência'!D24</f>
        <v>COBERTURA E FORRO</v>
      </c>
      <c r="C15" s="370">
        <f>'P. Referência'!I33</f>
        <v>25674.31</v>
      </c>
      <c r="D15" s="381">
        <v>1</v>
      </c>
      <c r="E15" s="370">
        <f t="shared" si="0"/>
        <v>25674.31</v>
      </c>
      <c r="F15" s="382">
        <v>1</v>
      </c>
      <c r="G15" s="382">
        <f t="shared" si="1"/>
        <v>1</v>
      </c>
      <c r="H15" s="371">
        <f t="shared" si="2"/>
        <v>25674.31</v>
      </c>
    </row>
    <row r="16" spans="1:9" ht="17.100000000000001" customHeight="1" x14ac:dyDescent="0.25">
      <c r="A16" s="379">
        <f>'P. Referência'!B35</f>
        <v>5</v>
      </c>
      <c r="B16" s="380" t="str">
        <f>'P. Referência'!D35</f>
        <v>REVETIMENTO DE PAREDE</v>
      </c>
      <c r="C16" s="370">
        <f>'P. Referência'!I39</f>
        <v>179.90999999999997</v>
      </c>
      <c r="D16" s="381">
        <v>1</v>
      </c>
      <c r="E16" s="370">
        <f t="shared" si="0"/>
        <v>179.90999999999997</v>
      </c>
      <c r="F16" s="382">
        <v>1</v>
      </c>
      <c r="G16" s="382">
        <f t="shared" si="1"/>
        <v>1</v>
      </c>
      <c r="H16" s="371">
        <f t="shared" si="2"/>
        <v>179.90999999999997</v>
      </c>
    </row>
    <row r="17" spans="1:8" ht="17.100000000000001" customHeight="1" x14ac:dyDescent="0.25">
      <c r="A17" s="379">
        <f>'P. Referência'!B41</f>
        <v>6</v>
      </c>
      <c r="B17" s="380" t="str">
        <f>'P. Referência'!D41</f>
        <v>PINTURA</v>
      </c>
      <c r="C17" s="370">
        <f>'P. Referência'!I51</f>
        <v>24258.35</v>
      </c>
      <c r="D17" s="381">
        <v>1</v>
      </c>
      <c r="E17" s="370">
        <f t="shared" si="0"/>
        <v>24258.35</v>
      </c>
      <c r="F17" s="382">
        <v>1</v>
      </c>
      <c r="G17" s="382">
        <f t="shared" si="1"/>
        <v>1</v>
      </c>
      <c r="H17" s="371">
        <f t="shared" si="2"/>
        <v>24258.35</v>
      </c>
    </row>
    <row r="18" spans="1:8" ht="17.100000000000001" customHeight="1" x14ac:dyDescent="0.25">
      <c r="A18" s="379">
        <f>'P. Referência'!B53</f>
        <v>7</v>
      </c>
      <c r="B18" s="380" t="str">
        <f>'P. Referência'!D53</f>
        <v>INSTALAÇÕES HIDRÁULICAS</v>
      </c>
      <c r="C18" s="370">
        <f>'P. Referência'!I63</f>
        <v>1935.7000000000003</v>
      </c>
      <c r="D18" s="381">
        <v>1</v>
      </c>
      <c r="E18" s="370">
        <f t="shared" si="0"/>
        <v>1935.7000000000003</v>
      </c>
      <c r="F18" s="382">
        <v>1</v>
      </c>
      <c r="G18" s="382">
        <f t="shared" si="1"/>
        <v>1</v>
      </c>
      <c r="H18" s="371">
        <f t="shared" si="2"/>
        <v>1935.7000000000003</v>
      </c>
    </row>
    <row r="19" spans="1:8" ht="17.100000000000001" customHeight="1" x14ac:dyDescent="0.25">
      <c r="A19" s="379">
        <f>'P. Referência'!B65</f>
        <v>8</v>
      </c>
      <c r="B19" s="380" t="str">
        <f>'P. Referência'!D65</f>
        <v>INSTALAÇÕES ELÉTRICAS</v>
      </c>
      <c r="C19" s="370">
        <f>'P. Referência'!I74</f>
        <v>2333.5700000000002</v>
      </c>
      <c r="D19" s="381">
        <v>1</v>
      </c>
      <c r="E19" s="370">
        <f t="shared" si="0"/>
        <v>2333.5700000000002</v>
      </c>
      <c r="F19" s="382">
        <v>1</v>
      </c>
      <c r="G19" s="382">
        <f t="shared" si="1"/>
        <v>1</v>
      </c>
      <c r="H19" s="371">
        <f t="shared" si="2"/>
        <v>2333.5700000000002</v>
      </c>
    </row>
    <row r="20" spans="1:8" ht="17.100000000000001" customHeight="1" x14ac:dyDescent="0.25">
      <c r="A20" s="379">
        <f>'P. Referência'!B76</f>
        <v>9</v>
      </c>
      <c r="B20" s="380" t="str">
        <f>'P. Referência'!D76</f>
        <v>SERVIÇOS COMPLEMENTARES</v>
      </c>
      <c r="C20" s="370">
        <f>'P. Referência'!I81</f>
        <v>3261.99</v>
      </c>
      <c r="D20" s="381">
        <v>1</v>
      </c>
      <c r="E20" s="370">
        <f t="shared" si="0"/>
        <v>3261.99</v>
      </c>
      <c r="F20" s="382">
        <v>1</v>
      </c>
      <c r="G20" s="382">
        <f t="shared" si="1"/>
        <v>1</v>
      </c>
      <c r="H20" s="371">
        <f t="shared" si="2"/>
        <v>3261.99</v>
      </c>
    </row>
    <row r="21" spans="1:8" ht="19.7" customHeight="1" x14ac:dyDescent="0.25">
      <c r="A21" s="383" t="s">
        <v>263</v>
      </c>
      <c r="B21" s="383"/>
      <c r="C21" s="372">
        <f>SUM(C12:C20)</f>
        <v>66264.19</v>
      </c>
      <c r="D21" s="384">
        <f>SUM(D12:D20)/(A20)</f>
        <v>1</v>
      </c>
      <c r="E21" s="385">
        <f>SUM(E12:E20)</f>
        <v>66264.19</v>
      </c>
      <c r="F21" s="386">
        <f>E21/C21</f>
        <v>1</v>
      </c>
      <c r="G21" s="390">
        <f>SUM(G12:G20)/A20</f>
        <v>1</v>
      </c>
      <c r="H21" s="389">
        <f>SUM(H12:H20)</f>
        <v>66264.19</v>
      </c>
    </row>
    <row r="22" spans="1:8" ht="19.7" customHeight="1" x14ac:dyDescent="0.25">
      <c r="A22" s="383" t="s">
        <v>264</v>
      </c>
      <c r="B22" s="383"/>
      <c r="C22" s="373"/>
      <c r="D22" s="375"/>
      <c r="E22" s="388">
        <f>E21</f>
        <v>66264.19</v>
      </c>
      <c r="F22" s="384">
        <f>F21</f>
        <v>1</v>
      </c>
      <c r="G22" s="384"/>
      <c r="H22" s="387"/>
    </row>
  </sheetData>
  <mergeCells count="12">
    <mergeCell ref="A10:H10"/>
    <mergeCell ref="A21:B21"/>
    <mergeCell ref="A22:B22"/>
    <mergeCell ref="A1:H5"/>
    <mergeCell ref="B6:F6"/>
    <mergeCell ref="G6:G7"/>
    <mergeCell ref="H6:H7"/>
    <mergeCell ref="B7:F7"/>
    <mergeCell ref="B8:F8"/>
    <mergeCell ref="G8:G9"/>
    <mergeCell ref="H8:H9"/>
    <mergeCell ref="B9:F9"/>
  </mergeCells>
  <pageMargins left="0.78740157480314965" right="0.39370078740157483" top="0.78740157480314965" bottom="0.98425196850393704" header="0.78740157480314965" footer="0.31496062992125984"/>
  <pageSetup paperSize="9" scale="53" orientation="landscape" r:id="rId1"/>
  <headerFooter>
    <oddHeader>&amp;L&amp;G&amp;R&amp;G</oddHeader>
    <oddFooter>&amp;RPágina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Normal="100" zoomScaleSheetLayoutView="100" workbookViewId="0">
      <selection activeCell="S16" sqref="S16"/>
    </sheetView>
  </sheetViews>
  <sheetFormatPr defaultColWidth="9.140625" defaultRowHeight="12.75" x14ac:dyDescent="0.2"/>
  <cols>
    <col min="1" max="1" width="10.28515625" style="267" customWidth="1"/>
    <col min="2" max="2" width="10.42578125" style="267" customWidth="1"/>
    <col min="3" max="3" width="52.85546875" style="267" customWidth="1"/>
    <col min="4" max="4" width="9.28515625" style="267" customWidth="1"/>
    <col min="5" max="5" width="17.28515625" style="267" customWidth="1"/>
    <col min="6" max="6" width="10.5703125" style="267" customWidth="1"/>
    <col min="7" max="7" width="18" style="267" bestFit="1" customWidth="1"/>
    <col min="8" max="8" width="15.42578125" style="267" hidden="1" customWidth="1"/>
    <col min="9" max="10" width="0" style="267" hidden="1" customWidth="1"/>
    <col min="11" max="11" width="15.7109375" style="267" hidden="1" customWidth="1"/>
    <col min="12" max="13" width="0" style="267" hidden="1" customWidth="1"/>
    <col min="14" max="16384" width="9.140625" style="267"/>
  </cols>
  <sheetData>
    <row r="1" spans="1:11" ht="15" customHeight="1" x14ac:dyDescent="0.2">
      <c r="A1" s="264" t="s">
        <v>224</v>
      </c>
      <c r="B1" s="265"/>
      <c r="C1" s="265"/>
      <c r="D1" s="265"/>
      <c r="E1" s="265"/>
      <c r="F1" s="265"/>
      <c r="G1" s="266"/>
    </row>
    <row r="2" spans="1:11" ht="15" customHeight="1" x14ac:dyDescent="0.2">
      <c r="A2" s="268"/>
      <c r="B2" s="269"/>
      <c r="C2" s="269"/>
      <c r="D2" s="269"/>
      <c r="E2" s="269"/>
      <c r="F2" s="269"/>
      <c r="G2" s="270"/>
    </row>
    <row r="3" spans="1:11" ht="15" customHeight="1" x14ac:dyDescent="0.2">
      <c r="A3" s="268"/>
      <c r="B3" s="269"/>
      <c r="C3" s="269"/>
      <c r="D3" s="269"/>
      <c r="E3" s="269"/>
      <c r="F3" s="269"/>
      <c r="G3" s="270"/>
    </row>
    <row r="4" spans="1:11" ht="15" customHeight="1" x14ac:dyDescent="0.2">
      <c r="A4" s="268"/>
      <c r="B4" s="269"/>
      <c r="C4" s="269"/>
      <c r="D4" s="269"/>
      <c r="E4" s="269"/>
      <c r="F4" s="269"/>
      <c r="G4" s="270"/>
    </row>
    <row r="5" spans="1:11" ht="15" customHeight="1" thickBot="1" x14ac:dyDescent="0.25">
      <c r="A5" s="271"/>
      <c r="B5" s="272"/>
      <c r="C5" s="272"/>
      <c r="D5" s="272"/>
      <c r="E5" s="272"/>
      <c r="F5" s="272"/>
      <c r="G5" s="273"/>
    </row>
    <row r="6" spans="1:11" ht="15" customHeight="1" thickBot="1" x14ac:dyDescent="0.25">
      <c r="A6" s="274" t="s">
        <v>225</v>
      </c>
      <c r="B6" s="275" t="str">
        <f>[2]RESUMO!B6</f>
        <v>OBRA DO SENAR NOVA CANAÃ DO NORTE</v>
      </c>
      <c r="C6" s="275"/>
      <c r="D6" s="275"/>
      <c r="E6" s="275"/>
      <c r="F6" s="276" t="str">
        <f>[2]RESUMO!C6</f>
        <v>REF.:</v>
      </c>
      <c r="G6" s="277" t="str">
        <f>[3]Resumo!D6</f>
        <v>SINAPI-MT
DES_NOV/2021</v>
      </c>
      <c r="H6" s="278"/>
    </row>
    <row r="7" spans="1:11" ht="15" customHeight="1" thickBot="1" x14ac:dyDescent="0.25">
      <c r="A7" s="274" t="s">
        <v>226</v>
      </c>
      <c r="B7" s="275" t="str">
        <f>[2]RESUMO!B7</f>
        <v>AV. SÃO PAULO ESQ. COM AV. GOVERNADOR DANTE DE OLIVEIRA, N06, Q62</v>
      </c>
      <c r="C7" s="275"/>
      <c r="D7" s="275"/>
      <c r="E7" s="275"/>
      <c r="F7" s="276"/>
      <c r="G7" s="277"/>
      <c r="H7" s="279"/>
    </row>
    <row r="8" spans="1:11" ht="15" customHeight="1" thickBot="1" x14ac:dyDescent="0.25">
      <c r="A8" s="274" t="s">
        <v>227</v>
      </c>
      <c r="B8" s="275" t="str">
        <f>[2]RESUMO!B8</f>
        <v>NOVA CANAÃ DO NORTE - MT</v>
      </c>
      <c r="C8" s="275"/>
      <c r="D8" s="275"/>
      <c r="E8" s="275"/>
      <c r="F8" s="276" t="str">
        <f>[2]RESUMO!C8</f>
        <v>BDI:</v>
      </c>
      <c r="G8" s="280">
        <f>G25</f>
        <v>28.347674918197008</v>
      </c>
      <c r="H8" s="279"/>
    </row>
    <row r="9" spans="1:11" ht="15" customHeight="1" thickBot="1" x14ac:dyDescent="0.25">
      <c r="A9" s="281" t="s">
        <v>228</v>
      </c>
      <c r="B9" s="275" t="str">
        <f>[2]RESUMO!B9</f>
        <v>OBRA NOVA</v>
      </c>
      <c r="C9" s="275"/>
      <c r="D9" s="275"/>
      <c r="E9" s="275"/>
      <c r="F9" s="276"/>
      <c r="G9" s="280"/>
      <c r="H9" s="279"/>
    </row>
    <row r="10" spans="1:11" ht="30.75" thickBot="1" x14ac:dyDescent="0.3">
      <c r="A10" s="282" t="s">
        <v>229</v>
      </c>
      <c r="B10" s="283" t="s">
        <v>230</v>
      </c>
      <c r="C10" s="284"/>
      <c r="D10" s="284"/>
      <c r="E10" s="284"/>
      <c r="F10" s="285"/>
      <c r="G10" s="286" t="s">
        <v>231</v>
      </c>
    </row>
    <row r="11" spans="1:11" ht="15.75" thickBot="1" x14ac:dyDescent="0.25">
      <c r="A11" s="287" t="s">
        <v>232</v>
      </c>
      <c r="B11" s="288" t="s">
        <v>34</v>
      </c>
      <c r="C11" s="289"/>
      <c r="D11" s="289"/>
      <c r="E11" s="289"/>
      <c r="F11" s="290"/>
      <c r="G11" s="291">
        <f>G12+G13+G14+G15</f>
        <v>7.3</v>
      </c>
      <c r="I11" s="292" t="s">
        <v>233</v>
      </c>
      <c r="J11" s="292" t="s">
        <v>234</v>
      </c>
    </row>
    <row r="12" spans="1:11" ht="13.5" thickBot="1" x14ac:dyDescent="0.25">
      <c r="A12" s="293" t="s">
        <v>100</v>
      </c>
      <c r="B12" s="294" t="s">
        <v>235</v>
      </c>
      <c r="C12" s="295"/>
      <c r="D12" s="296"/>
      <c r="E12" s="296"/>
      <c r="F12" s="297"/>
      <c r="G12" s="298">
        <v>4</v>
      </c>
      <c r="I12" s="299">
        <v>5.5</v>
      </c>
      <c r="J12" s="300">
        <v>3</v>
      </c>
      <c r="K12" s="267">
        <f>G12/100</f>
        <v>0.04</v>
      </c>
    </row>
    <row r="13" spans="1:11" ht="13.5" thickBot="1" x14ac:dyDescent="0.25">
      <c r="A13" s="301" t="s">
        <v>39</v>
      </c>
      <c r="B13" s="302" t="s">
        <v>236</v>
      </c>
      <c r="C13" s="303"/>
      <c r="D13" s="304"/>
      <c r="E13" s="304"/>
      <c r="F13" s="305"/>
      <c r="G13" s="306">
        <v>1.23</v>
      </c>
      <c r="I13" s="299">
        <v>1.39</v>
      </c>
      <c r="J13" s="300">
        <v>0.59</v>
      </c>
      <c r="K13" s="267">
        <f>G13/100</f>
        <v>1.23E-2</v>
      </c>
    </row>
    <row r="14" spans="1:11" ht="13.5" thickBot="1" x14ac:dyDescent="0.25">
      <c r="A14" s="307" t="s">
        <v>237</v>
      </c>
      <c r="B14" s="302" t="s">
        <v>238</v>
      </c>
      <c r="C14" s="303"/>
      <c r="D14" s="304"/>
      <c r="E14" s="304"/>
      <c r="F14" s="305"/>
      <c r="G14" s="306">
        <v>1.27</v>
      </c>
      <c r="I14" s="299">
        <v>1.27</v>
      </c>
      <c r="J14" s="300">
        <v>0.97</v>
      </c>
      <c r="K14" s="267">
        <f>G14/100</f>
        <v>1.2699999999999999E-2</v>
      </c>
    </row>
    <row r="15" spans="1:11" ht="13.5" thickBot="1" x14ac:dyDescent="0.25">
      <c r="A15" s="307" t="s">
        <v>239</v>
      </c>
      <c r="B15" s="308" t="s">
        <v>240</v>
      </c>
      <c r="C15" s="309"/>
      <c r="D15" s="310"/>
      <c r="E15" s="310"/>
      <c r="F15" s="311"/>
      <c r="G15" s="312">
        <v>0.8</v>
      </c>
      <c r="I15" s="313">
        <v>1</v>
      </c>
      <c r="J15" s="314">
        <v>0.8</v>
      </c>
      <c r="K15" s="267">
        <f>G15/100</f>
        <v>8.0000000000000002E-3</v>
      </c>
    </row>
    <row r="16" spans="1:11" ht="13.5" thickBot="1" x14ac:dyDescent="0.25">
      <c r="A16" s="287" t="s">
        <v>241</v>
      </c>
      <c r="B16" s="288" t="s">
        <v>242</v>
      </c>
      <c r="C16" s="315"/>
      <c r="D16" s="316"/>
      <c r="E16" s="316"/>
      <c r="F16" s="317"/>
      <c r="G16" s="291">
        <f>G17</f>
        <v>7.4</v>
      </c>
    </row>
    <row r="17" spans="1:14" ht="13.5" thickBot="1" x14ac:dyDescent="0.25">
      <c r="A17" s="318" t="s">
        <v>40</v>
      </c>
      <c r="B17" s="319" t="s">
        <v>243</v>
      </c>
      <c r="C17" s="320"/>
      <c r="D17" s="321"/>
      <c r="E17" s="321"/>
      <c r="F17" s="322"/>
      <c r="G17" s="323">
        <v>7.4</v>
      </c>
      <c r="I17" s="299">
        <v>8.9600000000000009</v>
      </c>
      <c r="J17" s="300">
        <v>6.16</v>
      </c>
      <c r="K17" s="267">
        <f>G17/100</f>
        <v>7.400000000000001E-2</v>
      </c>
    </row>
    <row r="18" spans="1:14" ht="13.5" thickBot="1" x14ac:dyDescent="0.25">
      <c r="A18" s="287" t="s">
        <v>244</v>
      </c>
      <c r="B18" s="288" t="s">
        <v>245</v>
      </c>
      <c r="C18" s="315"/>
      <c r="D18" s="316"/>
      <c r="E18" s="316"/>
      <c r="F18" s="317"/>
      <c r="G18" s="291">
        <f>G19+G20+G21+G22</f>
        <v>10.15</v>
      </c>
      <c r="I18" s="324"/>
      <c r="J18" s="324"/>
      <c r="K18" s="267">
        <f>SUM(K19:K22)</f>
        <v>0.10150000000000001</v>
      </c>
    </row>
    <row r="19" spans="1:14" x14ac:dyDescent="0.2">
      <c r="A19" s="325" t="s">
        <v>41</v>
      </c>
      <c r="B19" s="294" t="s">
        <v>246</v>
      </c>
      <c r="C19" s="326"/>
      <c r="D19" s="296"/>
      <c r="E19" s="296"/>
      <c r="F19" s="297"/>
      <c r="G19" s="327">
        <v>2</v>
      </c>
      <c r="I19" s="324"/>
      <c r="J19" s="324"/>
      <c r="K19" s="267">
        <f>G19/100</f>
        <v>0.02</v>
      </c>
    </row>
    <row r="20" spans="1:14" x14ac:dyDescent="0.2">
      <c r="A20" s="328" t="s">
        <v>38</v>
      </c>
      <c r="B20" s="302" t="s">
        <v>247</v>
      </c>
      <c r="C20" s="329"/>
      <c r="D20" s="304"/>
      <c r="E20" s="304"/>
      <c r="F20" s="305"/>
      <c r="G20" s="330">
        <v>3</v>
      </c>
      <c r="I20" s="324"/>
      <c r="J20" s="324"/>
      <c r="K20" s="267">
        <f>G20/100</f>
        <v>0.03</v>
      </c>
    </row>
    <row r="21" spans="1:14" x14ac:dyDescent="0.2">
      <c r="A21" s="331" t="s">
        <v>248</v>
      </c>
      <c r="B21" s="302" t="s">
        <v>249</v>
      </c>
      <c r="C21" s="303"/>
      <c r="D21" s="304"/>
      <c r="E21" s="304"/>
      <c r="F21" s="305"/>
      <c r="G21" s="332">
        <v>0.65</v>
      </c>
      <c r="I21" s="324"/>
      <c r="J21" s="324"/>
      <c r="K21" s="267">
        <f>G21/100</f>
        <v>6.5000000000000006E-3</v>
      </c>
    </row>
    <row r="22" spans="1:14" x14ac:dyDescent="0.2">
      <c r="A22" s="328" t="s">
        <v>250</v>
      </c>
      <c r="B22" s="302" t="s">
        <v>251</v>
      </c>
      <c r="C22" s="329"/>
      <c r="D22" s="304"/>
      <c r="E22" s="304"/>
      <c r="F22" s="305"/>
      <c r="G22" s="330">
        <v>4.5</v>
      </c>
      <c r="I22" s="324"/>
      <c r="J22" s="324"/>
      <c r="K22" s="333">
        <f>G22/100</f>
        <v>4.4999999999999998E-2</v>
      </c>
    </row>
    <row r="23" spans="1:14" ht="13.5" thickBot="1" x14ac:dyDescent="0.25">
      <c r="A23" s="334" t="s">
        <v>252</v>
      </c>
      <c r="B23" s="335"/>
      <c r="C23" s="335"/>
      <c r="D23" s="335"/>
      <c r="E23" s="335"/>
      <c r="F23" s="335"/>
      <c r="G23" s="336"/>
      <c r="I23" s="324"/>
      <c r="J23" s="324"/>
    </row>
    <row r="24" spans="1:14" ht="26.25" thickBot="1" x14ac:dyDescent="0.4">
      <c r="A24" s="337" t="s">
        <v>253</v>
      </c>
      <c r="B24" s="338"/>
      <c r="C24" s="338"/>
      <c r="D24" s="338"/>
      <c r="E24" s="338"/>
      <c r="F24" s="338"/>
      <c r="G24" s="339"/>
      <c r="I24" s="324"/>
      <c r="J24" s="324"/>
      <c r="K24" s="340">
        <f>(((1+$K$12+$K$15+$K$14)*(1+$K$13)*(1+$K$17)/(1-K18))-1)*100</f>
        <v>28.347674918197008</v>
      </c>
    </row>
    <row r="25" spans="1:14" ht="30.75" customHeight="1" thickBot="1" x14ac:dyDescent="0.25">
      <c r="A25" s="341" t="s">
        <v>254</v>
      </c>
      <c r="B25" s="342"/>
      <c r="C25" s="342"/>
      <c r="D25" s="342"/>
      <c r="E25" s="342"/>
      <c r="F25" s="343"/>
      <c r="G25" s="344">
        <f>(((1+$K$12+$K$15+$K$14)*(1+$K$13)*(1+$K$17)/(1-K18))-1)*100</f>
        <v>28.347674918197008</v>
      </c>
      <c r="I25" s="324"/>
      <c r="J25" s="324"/>
    </row>
    <row r="26" spans="1:14" ht="16.5" thickBot="1" x14ac:dyDescent="0.3">
      <c r="A26" s="345" t="s">
        <v>255</v>
      </c>
      <c r="B26" s="346"/>
      <c r="C26" s="346"/>
      <c r="D26" s="346"/>
      <c r="E26" s="346"/>
      <c r="F26" s="347"/>
      <c r="G26" s="348">
        <f>[2]RESUMO!C30</f>
        <v>637324.04000000015</v>
      </c>
      <c r="I26" s="349"/>
      <c r="J26" s="349"/>
    </row>
    <row r="27" spans="1:14" ht="13.5" thickBot="1" x14ac:dyDescent="0.25">
      <c r="A27" s="350" t="s">
        <v>256</v>
      </c>
      <c r="B27" s="351"/>
      <c r="C27" s="351"/>
      <c r="D27" s="351"/>
      <c r="E27" s="351"/>
      <c r="F27" s="351"/>
      <c r="G27" s="352"/>
      <c r="I27" s="333"/>
      <c r="J27" s="333"/>
    </row>
    <row r="28" spans="1:14" ht="16.5" thickBot="1" x14ac:dyDescent="0.25">
      <c r="A28" s="353" t="s">
        <v>257</v>
      </c>
      <c r="B28" s="354"/>
      <c r="C28" s="354"/>
      <c r="D28" s="354"/>
      <c r="E28" s="354"/>
      <c r="F28" s="354"/>
      <c r="G28" s="355"/>
      <c r="I28" s="333"/>
      <c r="J28" s="333"/>
      <c r="N28" s="356"/>
    </row>
    <row r="29" spans="1:14" x14ac:dyDescent="0.2">
      <c r="A29" s="357"/>
      <c r="B29" s="358"/>
      <c r="C29" s="358"/>
      <c r="D29" s="358"/>
      <c r="E29" s="358"/>
      <c r="F29" s="358"/>
      <c r="G29" s="359"/>
    </row>
    <row r="30" spans="1:14" ht="18.75" x14ac:dyDescent="0.25">
      <c r="A30" s="360"/>
      <c r="B30" s="361"/>
      <c r="C30" s="361"/>
      <c r="D30" s="361"/>
      <c r="E30" s="361"/>
      <c r="F30" s="361"/>
      <c r="G30" s="362"/>
      <c r="H30" s="363"/>
    </row>
    <row r="31" spans="1:14" ht="18.75" x14ac:dyDescent="0.25">
      <c r="A31" s="360"/>
      <c r="B31" s="361"/>
      <c r="C31" s="361"/>
      <c r="D31" s="361"/>
      <c r="E31" s="361"/>
      <c r="F31" s="361"/>
      <c r="G31" s="362"/>
      <c r="H31" s="363"/>
    </row>
    <row r="32" spans="1:14" ht="13.5" thickBot="1" x14ac:dyDescent="0.25">
      <c r="A32" s="364"/>
      <c r="B32" s="365"/>
      <c r="C32" s="365"/>
      <c r="D32" s="365"/>
      <c r="E32" s="365"/>
      <c r="F32" s="365"/>
      <c r="G32" s="366"/>
    </row>
  </sheetData>
  <mergeCells count="29">
    <mergeCell ref="A28:G28"/>
    <mergeCell ref="A29:G32"/>
    <mergeCell ref="B22:F22"/>
    <mergeCell ref="A23:G23"/>
    <mergeCell ref="A24:G24"/>
    <mergeCell ref="A25:F25"/>
    <mergeCell ref="A26:F26"/>
    <mergeCell ref="A27:G27"/>
    <mergeCell ref="B16:F16"/>
    <mergeCell ref="B17:F17"/>
    <mergeCell ref="B18:F18"/>
    <mergeCell ref="B19:F19"/>
    <mergeCell ref="B20:F20"/>
    <mergeCell ref="B21:F21"/>
    <mergeCell ref="B10:F10"/>
    <mergeCell ref="B11:F11"/>
    <mergeCell ref="B12:F12"/>
    <mergeCell ref="B13:F13"/>
    <mergeCell ref="B14:F14"/>
    <mergeCell ref="B15:F15"/>
    <mergeCell ref="A1:G5"/>
    <mergeCell ref="B6:E6"/>
    <mergeCell ref="F6:F7"/>
    <mergeCell ref="G6:G7"/>
    <mergeCell ref="B7:E7"/>
    <mergeCell ref="B8:E8"/>
    <mergeCell ref="F8:F9"/>
    <mergeCell ref="G8:G9"/>
    <mergeCell ref="B9:E9"/>
  </mergeCells>
  <pageMargins left="0.78740157480314965" right="0.39370078740157483" top="0.78740157480314965" bottom="0.98425196850393704" header="0.78740157480314965" footer="0.31496062992125984"/>
  <pageSetup paperSize="9" scale="70" orientation="portrait" r:id="rId1"/>
  <headerFooter>
    <oddHeader>&amp;L&amp;G&amp;R&amp;G</oddHeader>
    <oddFooter>&amp;RPágina &amp;P de &amp;N</oddFooter>
  </headerFooter>
  <colBreaks count="1" manualBreakCount="1">
    <brk id="7" max="31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25"/>
  <sheetViews>
    <sheetView workbookViewId="0">
      <pane ySplit="3" topLeftCell="A4" activePane="bottomLeft" state="frozen"/>
      <selection pane="bottomLeft" activeCell="D31" sqref="D31"/>
    </sheetView>
  </sheetViews>
  <sheetFormatPr defaultRowHeight="15" x14ac:dyDescent="0.25"/>
  <cols>
    <col min="1" max="2" width="4.42578125" customWidth="1"/>
    <col min="3" max="3" width="22.140625" customWidth="1"/>
    <col min="5" max="5" width="8.42578125" customWidth="1"/>
    <col min="6" max="6" width="7.85546875" customWidth="1"/>
    <col min="9" max="9" width="10" customWidth="1"/>
    <col min="10" max="10" width="14.140625" customWidth="1"/>
  </cols>
  <sheetData>
    <row r="1" spans="3:6" ht="4.5" customHeight="1" thickBot="1" x14ac:dyDescent="0.3"/>
    <row r="2" spans="3:6" s="18" customFormat="1" ht="10.5" customHeight="1" thickBot="1" x14ac:dyDescent="0.3">
      <c r="C2" s="262" t="s">
        <v>123</v>
      </c>
      <c r="D2" s="263"/>
      <c r="E2" s="22"/>
      <c r="F2" s="22"/>
    </row>
    <row r="3" spans="3:6" s="18" customFormat="1" ht="26.45" customHeight="1" thickBot="1" x14ac:dyDescent="0.3">
      <c r="C3" s="25" t="s">
        <v>2</v>
      </c>
      <c r="D3" s="24" t="s">
        <v>96</v>
      </c>
      <c r="E3" s="21"/>
      <c r="F3" s="21"/>
    </row>
    <row r="4" spans="3:6" s="18" customFormat="1" ht="21" customHeight="1" thickBot="1" x14ac:dyDescent="0.3">
      <c r="C4" s="36" t="s">
        <v>124</v>
      </c>
      <c r="D4" s="26">
        <v>134.38</v>
      </c>
      <c r="E4" s="21"/>
      <c r="F4" s="21"/>
    </row>
    <row r="5" spans="3:6" s="18" customFormat="1" x14ac:dyDescent="0.25">
      <c r="C5" s="23" t="s">
        <v>125</v>
      </c>
      <c r="D5" s="20">
        <v>134.38</v>
      </c>
      <c r="E5" s="21"/>
      <c r="F5" s="21"/>
    </row>
    <row r="6" spans="3:6" s="18" customFormat="1" x14ac:dyDescent="0.25">
      <c r="C6" s="19" t="s">
        <v>126</v>
      </c>
      <c r="D6" s="19">
        <v>23.3</v>
      </c>
      <c r="E6" s="21"/>
      <c r="F6" s="21"/>
    </row>
    <row r="7" spans="3:6" s="18" customFormat="1" x14ac:dyDescent="0.25">
      <c r="C7" s="19" t="s">
        <v>156</v>
      </c>
      <c r="D7" s="19">
        <v>25.18</v>
      </c>
      <c r="E7" s="21"/>
      <c r="F7" s="21"/>
    </row>
    <row r="8" spans="3:6" s="18" customFormat="1" x14ac:dyDescent="0.25">
      <c r="C8" s="19" t="s">
        <v>154</v>
      </c>
      <c r="D8" s="19">
        <v>63.85</v>
      </c>
      <c r="E8" s="21"/>
      <c r="F8" s="21"/>
    </row>
    <row r="9" spans="3:6" s="18" customFormat="1" x14ac:dyDescent="0.25">
      <c r="C9" s="19" t="s">
        <v>155</v>
      </c>
      <c r="D9" s="19">
        <f>80.94/0.2</f>
        <v>404.7</v>
      </c>
    </row>
    <row r="10" spans="3:6" s="18" customFormat="1" x14ac:dyDescent="0.25">
      <c r="C10" s="19" t="s">
        <v>93</v>
      </c>
      <c r="D10" s="19">
        <f>2.5*2.5</f>
        <v>6.25</v>
      </c>
    </row>
    <row r="11" spans="3:6" s="18" customFormat="1" x14ac:dyDescent="0.25"/>
    <row r="12" spans="3:6" s="18" customFormat="1" x14ac:dyDescent="0.25"/>
    <row r="13" spans="3:6" s="18" customFormat="1" x14ac:dyDescent="0.25"/>
    <row r="14" spans="3:6" s="18" customFormat="1" x14ac:dyDescent="0.25"/>
    <row r="15" spans="3:6" s="18" customFormat="1" x14ac:dyDescent="0.25"/>
    <row r="16" spans="3:6" s="18" customFormat="1" x14ac:dyDescent="0.25"/>
    <row r="17" spans="3:4" s="18" customFormat="1" x14ac:dyDescent="0.25"/>
    <row r="18" spans="3:4" s="18" customFormat="1" x14ac:dyDescent="0.25"/>
    <row r="19" spans="3:4" s="18" customFormat="1" x14ac:dyDescent="0.25"/>
    <row r="20" spans="3:4" s="18" customFormat="1" x14ac:dyDescent="0.25"/>
    <row r="21" spans="3:4" s="18" customFormat="1" x14ac:dyDescent="0.25"/>
    <row r="22" spans="3:4" s="18" customFormat="1" x14ac:dyDescent="0.25"/>
    <row r="23" spans="3:4" s="18" customFormat="1" x14ac:dyDescent="0.25"/>
    <row r="24" spans="3:4" x14ac:dyDescent="0.25">
      <c r="C24" s="18"/>
      <c r="D24" s="18"/>
    </row>
    <row r="25" spans="3:4" x14ac:dyDescent="0.25">
      <c r="C25" s="18"/>
      <c r="D25" s="18"/>
    </row>
  </sheetData>
  <mergeCells count="1">
    <mergeCell ref="C2:D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P. Referência</vt:lpstr>
      <vt:lpstr>Composições</vt:lpstr>
      <vt:lpstr>Cronograma</vt:lpstr>
      <vt:lpstr>BDI</vt:lpstr>
      <vt:lpstr>Quantitativos</vt:lpstr>
      <vt:lpstr>BDI!Area_de_impressao</vt:lpstr>
      <vt:lpstr>'P. Referência'!Area_de_impressao</vt:lpstr>
      <vt:lpstr>'P. Referência'!Titulos_de_impressao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Adriano de Oliveira</dc:creator>
  <cp:lastModifiedBy>Jaderson Diego de Figueiredo</cp:lastModifiedBy>
  <cp:lastPrinted>2021-09-27T11:54:45Z</cp:lastPrinted>
  <dcterms:created xsi:type="dcterms:W3CDTF">2017-08-18T12:05:16Z</dcterms:created>
  <dcterms:modified xsi:type="dcterms:W3CDTF">2022-01-21T12:58:40Z</dcterms:modified>
</cp:coreProperties>
</file>