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derson.Figueiredo\Desktop\"/>
    </mc:Choice>
  </mc:AlternateContent>
  <bookViews>
    <workbookView xWindow="0" yWindow="0" windowWidth="28800" windowHeight="11700" tabRatio="807"/>
  </bookViews>
  <sheets>
    <sheet name="Resumo" sheetId="25" r:id="rId1"/>
    <sheet name="P. Referência" sheetId="17" r:id="rId2"/>
    <sheet name="Composições" sheetId="18" r:id="rId3"/>
    <sheet name="Resumo RV" sheetId="28" state="hidden" r:id="rId4"/>
    <sheet name="Alvenaria-Pintura" sheetId="19" state="hidden" r:id="rId5"/>
    <sheet name="Cobertura" sheetId="21" state="hidden" r:id="rId6"/>
    <sheet name="Cotação" sheetId="20" state="hidden" r:id="rId7"/>
    <sheet name="BDI" sheetId="27" r:id="rId8"/>
  </sheets>
  <externalReferences>
    <externalReference r:id="rId9"/>
  </externalReferences>
  <definedNames>
    <definedName name="_xlnm.Print_Area" localSheetId="7">BDI!$A$1:$G$32</definedName>
    <definedName name="_xlnm.Print_Area" localSheetId="1">'P. Referência'!$B$2:$I$65</definedName>
    <definedName name="_xlnm.Print_Area" localSheetId="0">Resumo!$B$2:$E$20</definedName>
    <definedName name="_xlnm.Print_Area" localSheetId="3">'Resumo RV'!$B$2:$I$65</definedName>
    <definedName name="_xlnm.Print_Titles" localSheetId="1">'P. Referência'!$2:$7</definedName>
    <definedName name="_xlnm.Print_Titles" localSheetId="0">Resumo!$2:$7</definedName>
    <definedName name="_xlnm.Print_Titles" localSheetId="3">'Resumo RV'!$2:$7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5" l="1"/>
  <c r="G62" i="28"/>
  <c r="H62" i="28" s="1"/>
  <c r="I62" i="28" s="1"/>
  <c r="I61" i="28"/>
  <c r="H61" i="28"/>
  <c r="G60" i="28"/>
  <c r="H60" i="28" s="1"/>
  <c r="I60" i="28" s="1"/>
  <c r="I63" i="28" s="1"/>
  <c r="G56" i="28"/>
  <c r="H56" i="28" s="1"/>
  <c r="I56" i="28" s="1"/>
  <c r="G55" i="28"/>
  <c r="H55" i="28" s="1"/>
  <c r="I55" i="28" s="1"/>
  <c r="G54" i="28"/>
  <c r="H54" i="28" s="1"/>
  <c r="I54" i="28" s="1"/>
  <c r="H53" i="28"/>
  <c r="I53" i="28" s="1"/>
  <c r="H52" i="28"/>
  <c r="I52" i="28" s="1"/>
  <c r="H51" i="28"/>
  <c r="I51" i="28" s="1"/>
  <c r="H50" i="28"/>
  <c r="I50" i="28" s="1"/>
  <c r="H49" i="28"/>
  <c r="I49" i="28" s="1"/>
  <c r="G48" i="28"/>
  <c r="H48" i="28" s="1"/>
  <c r="I48" i="28" s="1"/>
  <c r="H44" i="28"/>
  <c r="I44" i="28" s="1"/>
  <c r="H43" i="28"/>
  <c r="I43" i="28" s="1"/>
  <c r="H42" i="28"/>
  <c r="I42" i="28" s="1"/>
  <c r="H41" i="28"/>
  <c r="I41" i="28" s="1"/>
  <c r="G41" i="28"/>
  <c r="G40" i="28"/>
  <c r="H40" i="28" s="1"/>
  <c r="I40" i="28" s="1"/>
  <c r="H39" i="28"/>
  <c r="I39" i="28" s="1"/>
  <c r="G39" i="28"/>
  <c r="H35" i="28"/>
  <c r="I35" i="28" s="1"/>
  <c r="H34" i="28"/>
  <c r="I34" i="28" s="1"/>
  <c r="G33" i="28"/>
  <c r="H33" i="28" s="1"/>
  <c r="I33" i="28" s="1"/>
  <c r="H32" i="28"/>
  <c r="I32" i="28" s="1"/>
  <c r="I31" i="28"/>
  <c r="H31" i="28"/>
  <c r="H30" i="28"/>
  <c r="I30" i="28" s="1"/>
  <c r="H29" i="28"/>
  <c r="I29" i="28" s="1"/>
  <c r="I28" i="28"/>
  <c r="H28" i="28"/>
  <c r="H27" i="28"/>
  <c r="I27" i="28" s="1"/>
  <c r="H26" i="28"/>
  <c r="I26" i="28" s="1"/>
  <c r="G25" i="28"/>
  <c r="H25" i="28" s="1"/>
  <c r="I25" i="28" s="1"/>
  <c r="G21" i="28"/>
  <c r="H21" i="28" s="1"/>
  <c r="I21" i="28" s="1"/>
  <c r="G20" i="28"/>
  <c r="H20" i="28" s="1"/>
  <c r="I20" i="28" s="1"/>
  <c r="H16" i="28"/>
  <c r="I16" i="28" s="1"/>
  <c r="G15" i="28"/>
  <c r="H15" i="28" s="1"/>
  <c r="I15" i="28" s="1"/>
  <c r="G14" i="28"/>
  <c r="H14" i="28" s="1"/>
  <c r="I14" i="28" s="1"/>
  <c r="I17" i="28" s="1"/>
  <c r="H10" i="28"/>
  <c r="I10" i="28" s="1"/>
  <c r="H9" i="28"/>
  <c r="I9" i="28" s="1"/>
  <c r="I11" i="28" s="1"/>
  <c r="I50" i="17"/>
  <c r="I49" i="17"/>
  <c r="I31" i="17"/>
  <c r="I30" i="17"/>
  <c r="H61" i="17"/>
  <c r="I61" i="17" s="1"/>
  <c r="H53" i="17"/>
  <c r="I53" i="17" s="1"/>
  <c r="H52" i="17"/>
  <c r="I52" i="17" s="1"/>
  <c r="H51" i="17"/>
  <c r="I51" i="17" s="1"/>
  <c r="H50" i="17"/>
  <c r="H49" i="17"/>
  <c r="H42" i="17"/>
  <c r="I42" i="17" s="1"/>
  <c r="H43" i="17"/>
  <c r="I43" i="17" s="1"/>
  <c r="H44" i="17"/>
  <c r="I44" i="17" s="1"/>
  <c r="H26" i="17"/>
  <c r="I26" i="17" s="1"/>
  <c r="H27" i="17"/>
  <c r="I27" i="17" s="1"/>
  <c r="H28" i="17"/>
  <c r="I28" i="17" s="1"/>
  <c r="H29" i="17"/>
  <c r="I29" i="17" s="1"/>
  <c r="H30" i="17"/>
  <c r="H31" i="17"/>
  <c r="H32" i="17"/>
  <c r="I32" i="17" s="1"/>
  <c r="H34" i="17"/>
  <c r="I34" i="17" s="1"/>
  <c r="H35" i="17"/>
  <c r="I35" i="17" s="1"/>
  <c r="H16" i="17"/>
  <c r="I16" i="17" s="1"/>
  <c r="H10" i="17"/>
  <c r="I10" i="17" s="1"/>
  <c r="H9" i="17"/>
  <c r="I9" i="17" s="1"/>
  <c r="I11" i="17" s="1"/>
  <c r="G26" i="27"/>
  <c r="K22" i="27"/>
  <c r="K21" i="27"/>
  <c r="K20" i="27"/>
  <c r="K19" i="27"/>
  <c r="K18" i="27" s="1"/>
  <c r="G18" i="27"/>
  <c r="K17" i="27"/>
  <c r="G16" i="27"/>
  <c r="K15" i="27"/>
  <c r="K14" i="27"/>
  <c r="K13" i="27"/>
  <c r="K12" i="27"/>
  <c r="G25" i="27" s="1"/>
  <c r="G11" i="27"/>
  <c r="B9" i="27"/>
  <c r="G8" i="27"/>
  <c r="F8" i="27"/>
  <c r="B8" i="27"/>
  <c r="B7" i="27"/>
  <c r="G6" i="27"/>
  <c r="F6" i="27"/>
  <c r="B6" i="27"/>
  <c r="I22" i="28" l="1"/>
  <c r="I36" i="28"/>
  <c r="I45" i="28"/>
  <c r="I57" i="28"/>
  <c r="I65" i="28" s="1"/>
  <c r="K24" i="27"/>
  <c r="F38" i="18" l="1"/>
  <c r="F22" i="18"/>
  <c r="E16" i="25" l="1"/>
  <c r="M5" i="19" l="1"/>
  <c r="C14" i="19" l="1"/>
  <c r="C12" i="19"/>
  <c r="J24" i="19"/>
  <c r="H23" i="19"/>
  <c r="J23" i="19" s="1"/>
  <c r="H22" i="19"/>
  <c r="H21" i="19"/>
  <c r="J21" i="19" s="1"/>
  <c r="H20" i="19"/>
  <c r="J20" i="19" s="1"/>
  <c r="H19" i="19"/>
  <c r="J19" i="19" s="1"/>
  <c r="H18" i="19"/>
  <c r="J18" i="19" s="1"/>
  <c r="H17" i="19"/>
  <c r="H16" i="19"/>
  <c r="J22" i="19"/>
  <c r="H15" i="19"/>
  <c r="J15" i="19" s="1"/>
  <c r="H14" i="19"/>
  <c r="J14" i="19" s="1"/>
  <c r="H13" i="19"/>
  <c r="J13" i="19" s="1"/>
  <c r="H8" i="19"/>
  <c r="H9" i="19"/>
  <c r="H12" i="19"/>
  <c r="J12" i="19" s="1"/>
  <c r="H11" i="19"/>
  <c r="J11" i="19" s="1"/>
  <c r="H10" i="19"/>
  <c r="J10" i="19" s="1"/>
  <c r="I9" i="19"/>
  <c r="I8" i="19"/>
  <c r="J16" i="19"/>
  <c r="J17" i="19"/>
  <c r="H7" i="19"/>
  <c r="J7" i="19" s="1"/>
  <c r="H6" i="19"/>
  <c r="H5" i="19"/>
  <c r="J5" i="19" s="1"/>
  <c r="H4" i="19"/>
  <c r="J4" i="19" s="1"/>
  <c r="J8" i="19"/>
  <c r="J6" i="19"/>
  <c r="C9" i="19"/>
  <c r="C8" i="19"/>
  <c r="E8" i="19" s="1"/>
  <c r="C7" i="19"/>
  <c r="C6" i="19"/>
  <c r="E6" i="19" s="1"/>
  <c r="C4" i="19"/>
  <c r="E4" i="19" s="1"/>
  <c r="E9" i="19"/>
  <c r="C5" i="19"/>
  <c r="E5" i="19" s="1"/>
  <c r="D4" i="19"/>
  <c r="J9" i="19" l="1"/>
  <c r="E7" i="19"/>
  <c r="E10" i="19" s="1"/>
  <c r="G63" i="18" l="1"/>
  <c r="G57" i="18"/>
  <c r="G53" i="18"/>
  <c r="G78" i="18" l="1"/>
  <c r="G77" i="18"/>
  <c r="G76" i="18"/>
  <c r="G75" i="18"/>
  <c r="G73" i="18"/>
  <c r="G72" i="18"/>
  <c r="G71" i="18"/>
  <c r="G70" i="18"/>
  <c r="G74" i="18" l="1"/>
  <c r="G69" i="18"/>
  <c r="E15" i="25" l="1"/>
  <c r="G60" i="17"/>
  <c r="H60" i="17" s="1"/>
  <c r="I60" i="17" s="1"/>
  <c r="I63" i="17" s="1"/>
  <c r="E17" i="25"/>
  <c r="E18" i="25" s="1"/>
  <c r="G62" i="17"/>
  <c r="H62" i="17" s="1"/>
  <c r="I62" i="17" s="1"/>
  <c r="G68" i="18"/>
  <c r="G67" i="18"/>
  <c r="G66" i="18"/>
  <c r="G65" i="18"/>
  <c r="E14" i="25" l="1"/>
  <c r="G64" i="18"/>
  <c r="G56" i="17" l="1"/>
  <c r="H56" i="17" s="1"/>
  <c r="I56" i="17" s="1"/>
  <c r="G28" i="18"/>
  <c r="G27" i="18"/>
  <c r="G62" i="18"/>
  <c r="G61" i="18"/>
  <c r="G60" i="18"/>
  <c r="G59" i="18" s="1"/>
  <c r="G58" i="18"/>
  <c r="G56" i="18"/>
  <c r="G55" i="18"/>
  <c r="G52" i="18"/>
  <c r="G51" i="18"/>
  <c r="G50" i="18"/>
  <c r="G49" i="18" s="1"/>
  <c r="G41" i="17" l="1"/>
  <c r="H41" i="17" s="1"/>
  <c r="I41" i="17" s="1"/>
  <c r="G39" i="17"/>
  <c r="H39" i="17" s="1"/>
  <c r="I39" i="17" s="1"/>
  <c r="G54" i="18"/>
  <c r="G26" i="18"/>
  <c r="G48" i="18"/>
  <c r="G47" i="18"/>
  <c r="G46" i="18"/>
  <c r="G45" i="18"/>
  <c r="G44" i="18"/>
  <c r="G43" i="18"/>
  <c r="G40" i="18"/>
  <c r="G39" i="18"/>
  <c r="G38" i="18"/>
  <c r="G37" i="18" s="1"/>
  <c r="G36" i="18"/>
  <c r="G35" i="18"/>
  <c r="G34" i="18"/>
  <c r="G32" i="18"/>
  <c r="G31" i="18"/>
  <c r="G30" i="18"/>
  <c r="G40" i="17" l="1"/>
  <c r="H40" i="17" s="1"/>
  <c r="I40" i="17" s="1"/>
  <c r="I45" i="17" s="1"/>
  <c r="E12" i="25" s="1"/>
  <c r="G14" i="17"/>
  <c r="H14" i="17" s="1"/>
  <c r="I14" i="17" s="1"/>
  <c r="G25" i="17"/>
  <c r="H25" i="17" s="1"/>
  <c r="I25" i="17" s="1"/>
  <c r="G33" i="18"/>
  <c r="G42" i="18"/>
  <c r="G29" i="18"/>
  <c r="G15" i="17" l="1"/>
  <c r="H15" i="17" s="1"/>
  <c r="I15" i="17" s="1"/>
  <c r="I17" i="17" s="1"/>
  <c r="E9" i="25" s="1"/>
  <c r="G21" i="17"/>
  <c r="H21" i="17" s="1"/>
  <c r="I21" i="17" s="1"/>
  <c r="G20" i="17"/>
  <c r="H20" i="17" s="1"/>
  <c r="I20" i="17" s="1"/>
  <c r="I22" i="17" l="1"/>
  <c r="E10" i="25" s="1"/>
  <c r="G25" i="18"/>
  <c r="G24" i="18"/>
  <c r="G23" i="18" s="1"/>
  <c r="G48" i="17" l="1"/>
  <c r="H48" i="17" s="1"/>
  <c r="I48" i="17" s="1"/>
  <c r="G22" i="18" l="1"/>
  <c r="G21" i="18"/>
  <c r="G20" i="18"/>
  <c r="G16" i="18"/>
  <c r="G18" i="18"/>
  <c r="G17" i="18"/>
  <c r="G14" i="18"/>
  <c r="G13" i="18"/>
  <c r="G12" i="18"/>
  <c r="G11" i="18"/>
  <c r="G10" i="18"/>
  <c r="G9" i="18"/>
  <c r="G8" i="18"/>
  <c r="G7" i="18"/>
  <c r="G6" i="18"/>
  <c r="G19" i="18" l="1"/>
  <c r="G15" i="18"/>
  <c r="G5" i="18"/>
  <c r="G55" i="17" l="1"/>
  <c r="H55" i="17" s="1"/>
  <c r="I55" i="17" s="1"/>
  <c r="G54" i="17"/>
  <c r="H54" i="17" s="1"/>
  <c r="I54" i="17" s="1"/>
  <c r="I57" i="17" s="1"/>
  <c r="G33" i="17"/>
  <c r="H33" i="17" s="1"/>
  <c r="I33" i="17" s="1"/>
  <c r="I36" i="17" s="1"/>
  <c r="E11" i="25" s="1"/>
  <c r="E13" i="25" l="1"/>
  <c r="E20" i="25" s="1"/>
  <c r="I65" i="17"/>
</calcChain>
</file>

<file path=xl/comments1.xml><?xml version="1.0" encoding="utf-8"?>
<comments xmlns="http://schemas.openxmlformats.org/spreadsheetml/2006/main">
  <authors>
    <author>Caroline Castilho dos Santos</author>
  </authors>
  <commentList>
    <comment ref="F9" authorId="0" shapeId="0">
      <text>
        <r>
          <rPr>
            <sz val="9"/>
            <color indexed="81"/>
            <rFont val="Segoe UI"/>
            <family val="2"/>
          </rPr>
          <t xml:space="preserve">3h/dia, 3x/semana,
1 mês de obra
</t>
        </r>
      </text>
    </comment>
    <comment ref="F10" authorId="0" shapeId="0">
      <text>
        <r>
          <rPr>
            <sz val="9"/>
            <color indexed="81"/>
            <rFont val="Segoe UI"/>
            <family val="2"/>
          </rPr>
          <t>6h/dia, 5x/semana.</t>
        </r>
      </text>
    </comment>
  </commentList>
</comments>
</file>

<file path=xl/comments2.xml><?xml version="1.0" encoding="utf-8"?>
<comments xmlns="http://schemas.openxmlformats.org/spreadsheetml/2006/main">
  <authors>
    <author>Caroline Castilho dos Santos</author>
  </authors>
  <commentList>
    <comment ref="F9" authorId="0" shapeId="0">
      <text>
        <r>
          <rPr>
            <sz val="9"/>
            <color indexed="81"/>
            <rFont val="Segoe UI"/>
            <family val="2"/>
          </rPr>
          <t xml:space="preserve">3h/dia, 3x/semana,
1 mês de obra
</t>
        </r>
      </text>
    </comment>
    <comment ref="F10" authorId="0" shapeId="0">
      <text>
        <r>
          <rPr>
            <sz val="9"/>
            <color indexed="81"/>
            <rFont val="Segoe UI"/>
            <family val="2"/>
          </rPr>
          <t>6h/dia, 5x/semana.</t>
        </r>
      </text>
    </comment>
  </commentList>
</comments>
</file>

<file path=xl/sharedStrings.xml><?xml version="1.0" encoding="utf-8"?>
<sst xmlns="http://schemas.openxmlformats.org/spreadsheetml/2006/main" count="577" uniqueCount="242">
  <si>
    <t>M²</t>
  </si>
  <si>
    <t>SUBTOTAL</t>
  </si>
  <si>
    <t>Item</t>
  </si>
  <si>
    <t>Descrição</t>
  </si>
  <si>
    <t>Und.</t>
  </si>
  <si>
    <t>Valor Total</t>
  </si>
  <si>
    <t>M</t>
  </si>
  <si>
    <t>KG</t>
  </si>
  <si>
    <t>Código SINAPI</t>
  </si>
  <si>
    <t>COBERTURA E FORRO.</t>
  </si>
  <si>
    <t>CHP</t>
  </si>
  <si>
    <t>Composição 01</t>
  </si>
  <si>
    <t>Composição 02</t>
  </si>
  <si>
    <t>Und</t>
  </si>
  <si>
    <t>Composição 04</t>
  </si>
  <si>
    <t>Composição 05</t>
  </si>
  <si>
    <t>Composição 06</t>
  </si>
  <si>
    <t>APLICAÇÃO MANUAL DE TINTA LÁTEX ACRÍLICA, 1° LINHA, ANTIMOFO E LAVAVEL, COM DUAS DEMÃOS NA COR OVELHA.</t>
  </si>
  <si>
    <t>Referência SINAPI Desonerada:</t>
  </si>
  <si>
    <t>CALHA EM CHAPA DE AÇO GALVANIZADO NÚMERO 24, DESENVOLVIMENTO DE 50 CM, INCLUSO TRANSPORTE VERTICAL. AF_06/2016.</t>
  </si>
  <si>
    <t>RUFO EM CHAPA DE AÇO GALVANIZO NÚMERO 24, CORTE DE 25CM, INCLUSO TRANSPORTE VERTICAL. AF_06/2016.</t>
  </si>
  <si>
    <t>APLICAÇÃO DE FUNDO SELADOR ACRÍLICO EM PAREDES, UMA DEMÃO. AF_06/2014.</t>
  </si>
  <si>
    <t>APLICAÇÃO E LIXAMENTO DE MASSA LÁTEX EM PAREDES, DUAS DEMÃOS. AF_06/2014.</t>
  </si>
  <si>
    <t>TEXTURA ACRÍLICA, APLICAÇÃO MANUAL EM PAREDE, UMA DEMÃO. AF_09/2016</t>
  </si>
  <si>
    <t>PINGADEIRA EM CHAPA DE AÇO GALVANIZADO NÚMERO 24, INCLUSO TRANSPORTE VERTICAL.</t>
  </si>
  <si>
    <t xml:space="preserve">Descrição                               </t>
  </si>
  <si>
    <t>Unidade</t>
  </si>
  <si>
    <t>Coeficiente</t>
  </si>
  <si>
    <t>Preço Unitario</t>
  </si>
  <si>
    <t>Preço total</t>
  </si>
  <si>
    <t>H</t>
  </si>
  <si>
    <t>UND</t>
  </si>
  <si>
    <t xml:space="preserve">PINGADEIRA EM CHAPA DE AÇO GALVANIZADO NÚMERO 24, CORTE DE 25 CM, INCLUSO TRANSPORTE VERTICAL. </t>
  </si>
  <si>
    <t>SELANTE ELASTICO MONOCOMPONENTE A BASE DE POLIURETANO PARA JUNTAS DIVERSAS</t>
  </si>
  <si>
    <t>310ML</t>
  </si>
  <si>
    <t>PREGO DE ACO POLIDO COM CABECA 18 X 27 (2 1/2 X 10)</t>
  </si>
  <si>
    <t>REBITE DE ALUMINIO VAZADO DE REPUXO, 3,2 X 8 MM (1KG = 1025 UNIDADES)</t>
  </si>
  <si>
    <t>SOLDA EM BARRA DE ESTANHO-CHUMBO 50/50</t>
  </si>
  <si>
    <t>RUFO INTERNO/EXTERNO DE CHAPA DE ACO GALVANIZADA NUM 24, CORTE 25 CM (COLETADO CAIXA)</t>
  </si>
  <si>
    <t>SERVENTE COM ENCARGOS COMPLEMENTARES</t>
  </si>
  <si>
    <t>TELHADISTA COM ENCARGOS COMPLEMENTARES</t>
  </si>
  <si>
    <t>GUINCHO ELÉTRICO DE COLUNA, CAPACIDADE 400 KG, COM MOTO FREIO, MOTOR TRIFÁSICO DE 1,25 CV - CHI DIURNO. AF_03/2016</t>
  </si>
  <si>
    <t>CHI</t>
  </si>
  <si>
    <t>Composição 1</t>
  </si>
  <si>
    <t>Composição 2</t>
  </si>
  <si>
    <t>M2</t>
  </si>
  <si>
    <t>TINTA ACRILICA PREMIUM,PRIMEIRA LINHA NA COR OVELHA 18L</t>
  </si>
  <si>
    <t>L</t>
  </si>
  <si>
    <t>PINTOR COM ENCARGOS COMPLEMENTARES</t>
  </si>
  <si>
    <t xml:space="preserve">APLICAÇÃO MANUAL DE PINTURA COM TINTA ACRÍLICA, 1° LINHA, ANTIMOFO EM PAREDES EXTERNAS DE CASAS, DUAS CORES. </t>
  </si>
  <si>
    <t>TINTA ACRILICA PREMIUM,PRIMEIRA LINHA NA COR OVELHA/VERDE FOLHA 18L</t>
  </si>
  <si>
    <t>ADMINISTRAÇÃO DA OBRA</t>
  </si>
  <si>
    <t xml:space="preserve">ENGENHEIRO CIVIL DE OBRA PLENO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</si>
  <si>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REMOÇÃO DE FORROS DE DRYWALL, PVC E FIBROMINERAL, DE FORMA MANUAL, SEM REAPROVEITAMENTO. AF_12/2017</t>
  </si>
  <si>
    <t>REMOÇÃO DE TELHAS, DE FIBROCIMENTO, METÁLICA E CERÂMICA, DE FORMA MANUAL, SEM REAPROVEITAMENTO. AF_12/2017</t>
  </si>
  <si>
    <t>REMOÇÃO DE PINTURA</t>
  </si>
  <si>
    <t>Quant.</t>
  </si>
  <si>
    <t>ENCARREGADO GERAL COM ENCARGOS COMPLEMENTARES</t>
  </si>
  <si>
    <t>90776</t>
  </si>
  <si>
    <t>Composição 7</t>
  </si>
  <si>
    <t>REMOÇÃO DE PINTURA INTERNA E EXTERNA</t>
  </si>
  <si>
    <t>Valor Unit.</t>
  </si>
  <si>
    <t>3.2</t>
  </si>
  <si>
    <t>1.1</t>
  </si>
  <si>
    <t>1.2</t>
  </si>
  <si>
    <t>2.1</t>
  </si>
  <si>
    <t>3.1</t>
  </si>
  <si>
    <t>4.1</t>
  </si>
  <si>
    <t>5.1</t>
  </si>
  <si>
    <t>5.2</t>
  </si>
  <si>
    <t>6.1</t>
  </si>
  <si>
    <t>6.2</t>
  </si>
  <si>
    <t>6.4</t>
  </si>
  <si>
    <t>6.5</t>
  </si>
  <si>
    <t>6.6</t>
  </si>
  <si>
    <t>Composição 07</t>
  </si>
  <si>
    <t>REMOÇÃO DE RUFO, CALHAS E PINGADEIRA SEM REAPROVEITAMENTO</t>
  </si>
  <si>
    <t>Composição 08</t>
  </si>
  <si>
    <t>Composição 8</t>
  </si>
  <si>
    <t>Kg</t>
  </si>
  <si>
    <t>MOBILIZAÇÃO E DESMOBILIZAÇÃO DE OBRA</t>
  </si>
  <si>
    <t>MOBILIZAÇÃO DE OBRA</t>
  </si>
  <si>
    <t>CAMINHÃO TOCO, PBT 14.300 KG, CARGA ÚTIL MÁX. 9.710 KG, DIST. ENTRE EIXOS 3,56 M, POTÊNCIA 185 CV, INCLUSIVE CARROCERIA FIXA ABERTA DE MADEIRA P/ TRANSPORTE GERAL DE CARGA SECA, DIMEN. APROX. 2,50 X 6,50 X 0,50 M - CHP DIURNO. AF_06/2014</t>
  </si>
  <si>
    <t>CAMINHÃO TOCO, PESO BRUTO TOTAL 14.300 KG, CARGA ÚTIL MÁXIMA 9590 KG, DISTÂNCIA ENTRE EIXOS 4,76 M, POTÊNCIA 185 CV (NÃO INCLUI CARROCERIA) - CHI DIURNO. AF_06/2014</t>
  </si>
  <si>
    <t>DESMOBILIZAÇÃO DE OBRA</t>
  </si>
  <si>
    <t>Composição 09</t>
  </si>
  <si>
    <t>Composição 10</t>
  </si>
  <si>
    <t>Composição 11</t>
  </si>
  <si>
    <t>2.2</t>
  </si>
  <si>
    <t>Cotação 01</t>
  </si>
  <si>
    <t>LOCAÇÃO DE CAÇAMBA TIPO BOTA-FORA</t>
  </si>
  <si>
    <t>EMISSÃO DE CUSTEIO DE ALVARA E REGISTROS</t>
  </si>
  <si>
    <t>PLACA DE OBRA (PARA CONSTRUÇÃO CIVIL) EM CHAPA GALVANIZADA, ADESIVADA FIXA EM ESTRUTURA DE MADEIRA.</t>
  </si>
  <si>
    <t>EMISSÃO E CUSTEIO DE ALVARÁ E REGISTROS</t>
  </si>
  <si>
    <t>ALVARÁ DE OBRA</t>
  </si>
  <si>
    <t>Cotação - CREA MT</t>
  </si>
  <si>
    <t>AUXILIAR DE ESCRITORIO COM ENCARGOS COMPLEMENTARES</t>
  </si>
  <si>
    <t>SARRAFO DE MADEIRA NAO APARELHADA *2,5 X 7* CM, MACARANDUBA, ANGELIM OU EQUIVALENTE DA REGIAO</t>
  </si>
  <si>
    <t>PONTALETE DE MADEIRA NAO APARELHADA *7,5 X 7,5* CM (3 X 3 ") PINUS, MISTA OU EQUIVALENTE DA REGIAO</t>
  </si>
  <si>
    <t>PLACA DE OBRA (PARA CONSTRUCAO CIVIL) EM CHAPA GALVANIZADA *N. 22*, ADESIVADA, DE *2,0 X 1,125* M</t>
  </si>
  <si>
    <t>PREGO DE ACO POLIDO COM CABECA 18 X 30 (2 3/4 X 10)</t>
  </si>
  <si>
    <t>CARPINTEIRO DE FORMAS COM ENCARGOS COMPLEMENTARES</t>
  </si>
  <si>
    <t>Composição 12</t>
  </si>
  <si>
    <t>Composição 13</t>
  </si>
  <si>
    <t>SERVIÇOS PRELIMINARES</t>
  </si>
  <si>
    <t>Composição 4</t>
  </si>
  <si>
    <t>Planilha de Referência Orçamentária
Núcleo Avançado de Capacitação JUÍNA</t>
  </si>
  <si>
    <t>REVESTIMENTOS</t>
  </si>
  <si>
    <t>SERVIÇO DE TROCA DE AZULEJOS CERAMICOS</t>
  </si>
  <si>
    <t>SERVIÇO DE TROCA DE PASTILHA CERAMICA</t>
  </si>
  <si>
    <t>REVESTIMENTO CERÂMICO PARA PAREDES INTERNAS COM PLACAS TIPO ESMALTADA EXTRA DE DIMENSÕES 25X35 CM APLICADAS EM AMBIENTES DE ÁREA MENOR QUE 5 M² A MEIA ALTURA DAS PAREDES. AF_06/2014</t>
  </si>
  <si>
    <t>88256</t>
  </si>
  <si>
    <t>AZULEJISTA OU LADRILHISTA COM ENCARGOS COMPLEMENTARES</t>
  </si>
  <si>
    <t>Composição 03</t>
  </si>
  <si>
    <t>SERVIÇO DE TROCA DE PISO CERAMICO</t>
  </si>
  <si>
    <t>REVESTIMENTO CERÂMICO PARA PISO COM PLACAS TIPO ESMALTADA EXTRA DE DIMENSÕES 45X45 CM APLICADA EM AMBIENTES DE ÁREA MAIOR QUE 10 M2. AF_06/2014</t>
  </si>
  <si>
    <t>4.2</t>
  </si>
  <si>
    <t>4.3</t>
  </si>
  <si>
    <t>RECUPERAÇÃO DE TRINCA PAREDES COM ARGAMASSA E ELASTÔMERO</t>
  </si>
  <si>
    <t>ARGAMASSA INDUSTRIALIZADA MULTIUSO, PARA REVESTIMENTO INTERNO E EXTERNO E ASSENTAMENTO DE BLOCOS DIVERSOS</t>
  </si>
  <si>
    <t>PEDREIRO COM ENCARGOS COMPLEMENTARES</t>
  </si>
  <si>
    <t>ALVENARIA E PINTURA</t>
  </si>
  <si>
    <t>FABRICAÇÃO E INSTALAÇÃO DE TESOURA INTEIRA EM AÇO, VÃO DE 6 M, PARA TELHA ONDULADA DE FIBROCIMENTO, METÁLICA, PLÁSTICA OU TERMOACÚSTICA, INCLUSO IÇAMENTO. AF_12/2015.</t>
  </si>
  <si>
    <t>FORRO EM DRYWALL, PARA AMBIENTES COMERCIAIS, INCLUSIVE ESTRUTURA DE FIXAÇÃO. AF_05/2017_P</t>
  </si>
  <si>
    <t>Composição 5</t>
  </si>
  <si>
    <t>Composição 6</t>
  </si>
  <si>
    <t>Composição 9</t>
  </si>
  <si>
    <t>Composição 3</t>
  </si>
  <si>
    <t>Composição 15</t>
  </si>
  <si>
    <t>LIMPEZA FINAL</t>
  </si>
  <si>
    <t>LIMPEZA DE PISO CERÂMICO OU PORCELANATO COM PANO ÚMIDO. AF_04/2019</t>
  </si>
  <si>
    <t>LIMPEZA DE REVESTIMENTO CERÂMICO EM PAREDE COM PANO ÚMIDO AF_04/2019</t>
  </si>
  <si>
    <t>LIMPEZA DE SUPERFÍCIE COM JATO DE ALTA PRESSÃO. AF_04/2019</t>
  </si>
  <si>
    <t>LIMPEZA DE PORTA DE MADEIRA. AF_04/2019</t>
  </si>
  <si>
    <t>Composição 14</t>
  </si>
  <si>
    <t>SERVIÇOS COMPLEMENTARES</t>
  </si>
  <si>
    <t xml:space="preserve">MANUTENÇÃO ACM </t>
  </si>
  <si>
    <t>MANUTENÇÃO ACM</t>
  </si>
  <si>
    <t xml:space="preserve">SELANTE ELASTICO MONOCOMPONENTE A BASE DE POLIURETANO (PU) PARA JUNTAS DIVERSAS             </t>
  </si>
  <si>
    <t>SERRALHEIRO COM ENCARGOS COMPLEMENTARES</t>
  </si>
  <si>
    <t>88316</t>
  </si>
  <si>
    <t>Cotação</t>
  </si>
  <si>
    <t>Tubo Quadrado Metalon 30 X 30 0.95 Galvanizado</t>
  </si>
  <si>
    <t>2.3</t>
  </si>
  <si>
    <t>4.4</t>
  </si>
  <si>
    <t>4.5</t>
  </si>
  <si>
    <t>4.6</t>
  </si>
  <si>
    <t>4.7</t>
  </si>
  <si>
    <t>4.8</t>
  </si>
  <si>
    <t>4.9</t>
  </si>
  <si>
    <t>5.3</t>
  </si>
  <si>
    <t>6.3</t>
  </si>
  <si>
    <t>6.7</t>
  </si>
  <si>
    <t>7.1</t>
  </si>
  <si>
    <t>7.2</t>
  </si>
  <si>
    <t>5.4</t>
  </si>
  <si>
    <t>DEMOLIÇÃO DE REVESTIMENTO CERÂMICO, DE FORMA MANUAL, SEM REAPROVEITAMENTO. AF_12/2017</t>
  </si>
  <si>
    <t>DEMOLIÇÃO DE ARGAMASSAS, DE FORMA MANUAL, SEM REAPROVEITAMENTO. AF_12/2017</t>
  </si>
  <si>
    <t>5.5</t>
  </si>
  <si>
    <t>ADITIVO IMPERMEABILIZANTE DE PEGA NORMAL PARA ARGAMASSAS E CONCRETOS SEM ARMACAO, LIQUIDO E ISENTO DE CLORETOS</t>
  </si>
  <si>
    <t>5.6</t>
  </si>
  <si>
    <t>IMPERMEABILIZAÇÃO DE SUPERFÍCIE COM MANTA ASFÁLTICA, UMA CAMADA, INCLUSIVE APLICAÇÃO DE PRIMER ASFÁLTICO, E=3MM. AF_06/2018</t>
  </si>
  <si>
    <t>7.3</t>
  </si>
  <si>
    <t>TELHAMENTO COM TELHA ESTRUTURAL DE FIBROCIMENTO E= 8 MM, COM ATÉ 2 ÁGUAS, INCLUSO IÇAMENTO. AF_07/2019_P</t>
  </si>
  <si>
    <t>REMOÇÃO DE TRAMA DE MADEIRA PARA COBERTURA, DE FORMA MANUAL, SEM REAPROVEITAMENTO. AF_12/2017</t>
  </si>
  <si>
    <t>REMOÇÃO DE TESOURAS DE MADEIRA, COM VÃO MENOR QUE 8M, DE FORMA MANUAL, SEM REAPROVEITAMENTO. AF_12/2017</t>
  </si>
  <si>
    <t>Paredes</t>
  </si>
  <si>
    <t>p1</t>
  </si>
  <si>
    <t>Area</t>
  </si>
  <si>
    <t>Vão</t>
  </si>
  <si>
    <t xml:space="preserve">Area Total </t>
  </si>
  <si>
    <t>p2</t>
  </si>
  <si>
    <t>p3</t>
  </si>
  <si>
    <t>p4</t>
  </si>
  <si>
    <t>p5</t>
  </si>
  <si>
    <t>p6</t>
  </si>
  <si>
    <t>p7</t>
  </si>
  <si>
    <t>p8</t>
  </si>
  <si>
    <t>EXTERNO</t>
  </si>
  <si>
    <t>TOTAL</t>
  </si>
  <si>
    <t>INTERNO</t>
  </si>
  <si>
    <t>p9</t>
  </si>
  <si>
    <t>p10</t>
  </si>
  <si>
    <t>p11</t>
  </si>
  <si>
    <t>p12</t>
  </si>
  <si>
    <t>p13</t>
  </si>
  <si>
    <t>SELADOR</t>
  </si>
  <si>
    <t>FORRO</t>
  </si>
  <si>
    <t>APLICAÇÃO E LIXAMENTO DE MASSA LÁTEX EM TETO, DUAS DEMÃOS. AF_06/2014</t>
  </si>
  <si>
    <t>APLICAÇÃO MANUAL DE PINTURA COM TINTA LÁTEX ACRÍLICA EM TETO, DUAS DEMÃOS. AF_06/2014</t>
  </si>
  <si>
    <t>6.8</t>
  </si>
  <si>
    <t>6.9</t>
  </si>
  <si>
    <t>Cotação - Tabela 2021 Prefeitura de Cuiabá item 136</t>
  </si>
  <si>
    <t>ART/CREA DE EXECUÇÃO - AREA ATÉ 15.000 R$</t>
  </si>
  <si>
    <t>DEMOLIÇÃO ARGAMASSA</t>
  </si>
  <si>
    <t>Perímetro</t>
  </si>
  <si>
    <t>A</t>
  </si>
  <si>
    <t>COMPOSIÇÃO UNITÁRIA</t>
  </si>
  <si>
    <t>REFORMA NAC - JUINA MT</t>
  </si>
  <si>
    <t>09/2021</t>
  </si>
  <si>
    <t>ADESIVO ESTRUTURAL A BASE DE RESINA EPOXI PARA INJECAO EM TRINCAS, BICOMPONENTE, BAIXA VISCOSIDADE</t>
  </si>
  <si>
    <t>VALOR TOTAL</t>
  </si>
  <si>
    <t>Valor Parcial</t>
  </si>
  <si>
    <t>11/2021</t>
  </si>
  <si>
    <t>4.10</t>
  </si>
  <si>
    <t>4.11</t>
  </si>
  <si>
    <t>EMBOÇO, PARA RECEBIMENTO DE CERÂMICA, EM ARGAMASSA TRAÇO 1:2:8, PREPARO MECÂNICO COM BETONEIRA 400L, APLICADO MANUALMENTE EM FACES INTERNASDE PAREDES, PARA AMBIENTE COM ÁREA MENOR QUE 5M2, ESPESSURA DE 20MM, COM EXECUÇÃO DE TALISCAS. AF_06/2014</t>
  </si>
  <si>
    <t>BDI</t>
  </si>
  <si>
    <t>OBRA:</t>
  </si>
  <si>
    <t>ENDEREÇO:</t>
  </si>
  <si>
    <t>MUNICÍPIO:</t>
  </si>
  <si>
    <t>ASSUNTO:</t>
  </si>
  <si>
    <t>ITEM</t>
  </si>
  <si>
    <t>DISCRIMINAÇÃO</t>
  </si>
  <si>
    <t>PERCENTUAL
(%)</t>
  </si>
  <si>
    <t>1.0</t>
  </si>
  <si>
    <t>MAX</t>
  </si>
  <si>
    <t>MIN</t>
  </si>
  <si>
    <t>Administração Central</t>
  </si>
  <si>
    <t>Despesas Financeiras</t>
  </si>
  <si>
    <t>1.3</t>
  </si>
  <si>
    <t>Riscos</t>
  </si>
  <si>
    <t>1.4</t>
  </si>
  <si>
    <t>Seguros e Garantias</t>
  </si>
  <si>
    <t>2.0</t>
  </si>
  <si>
    <t>LUCRO</t>
  </si>
  <si>
    <t>Lucro Operacional</t>
  </si>
  <si>
    <t>3.0</t>
  </si>
  <si>
    <t>TRIBUTOS</t>
  </si>
  <si>
    <t>**ISS</t>
  </si>
  <si>
    <t>Cofins</t>
  </si>
  <si>
    <t>3.3</t>
  </si>
  <si>
    <t>Pis</t>
  </si>
  <si>
    <t>3.4</t>
  </si>
  <si>
    <t>Contribuição Previdênciária - Lei N° 13161/2015</t>
  </si>
  <si>
    <t>**ISS - Repassado pelo município</t>
  </si>
  <si>
    <t xml:space="preserve">Fórmula e parâmetros estabelecidos pelo Acórdão 2622/2013-TCU-Plenário (contemplando) </t>
  </si>
  <si>
    <t xml:space="preserve">TAXA DE BDI A SER APLICADA 
SOBRE O CUSTO DIRETO </t>
  </si>
  <si>
    <t>VALOR DA OBRA</t>
  </si>
  <si>
    <t>Não incidem IRPJ e CSLL na composição de Tributos.</t>
  </si>
  <si>
    <t>CÁLCULO DO BDI</t>
  </si>
  <si>
    <t>Valor Unitário C/ BDI 28,35%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</si>
</sst>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\ * #,##0.000000000_-;\-[$R$-416]\ * #,##0.000000000_-;_-[$R$-416]\ * &quot;-&quot;??_-;_-@_-"/>
    <numFmt numFmtId="166" formatCode="_(&quot;R$ &quot;* #,##0.00_);_(&quot;R$ &quot;* \(#,##0.00\);_(&quot;R$ &quot;* &quot;-&quot;??_);_(@_)"/>
    <numFmt numFmtId="167" formatCode="[$-416]mmmm\-yy;@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ourier New"/>
      <family val="3"/>
    </font>
    <font>
      <sz val="10"/>
      <color theme="1"/>
      <name val="Courier New"/>
      <family val="3"/>
    </font>
    <font>
      <sz val="11"/>
      <color theme="1"/>
      <name val="Courier New"/>
      <family val="3"/>
    </font>
    <font>
      <sz val="11"/>
      <name val="Courier New"/>
      <family val="3"/>
    </font>
    <font>
      <b/>
      <sz val="16"/>
      <color theme="1"/>
      <name val="Courier New"/>
      <family val="3"/>
    </font>
    <font>
      <b/>
      <sz val="12"/>
      <color theme="1"/>
      <name val="Courier New"/>
      <family val="3"/>
    </font>
    <font>
      <sz val="11"/>
      <color theme="0"/>
      <name val="Courier New"/>
      <family val="3"/>
    </font>
    <font>
      <b/>
      <sz val="12"/>
      <name val="Courier New"/>
      <family val="3"/>
    </font>
    <font>
      <b/>
      <sz val="11"/>
      <color theme="1"/>
      <name val="Courier New"/>
      <family val="3"/>
    </font>
    <font>
      <sz val="12"/>
      <color theme="1"/>
      <name val="Arial"/>
      <family val="2"/>
    </font>
    <font>
      <sz val="10"/>
      <color rgb="FF000000"/>
      <name val="Courier New"/>
      <family val="3"/>
    </font>
    <font>
      <sz val="11"/>
      <color rgb="FF000000"/>
      <name val="Courier New"/>
      <family val="3"/>
    </font>
    <font>
      <b/>
      <sz val="11"/>
      <name val="Courier New"/>
      <family val="3"/>
    </font>
    <font>
      <sz val="9"/>
      <color indexed="81"/>
      <name val="Segoe UI"/>
      <family val="2"/>
    </font>
    <font>
      <b/>
      <sz val="16"/>
      <name val="Courier New"/>
      <family val="3"/>
    </font>
    <font>
      <sz val="11"/>
      <color rgb="FFFF0000"/>
      <name val="Courier New"/>
      <family val="3"/>
    </font>
    <font>
      <b/>
      <sz val="11"/>
      <color rgb="FFFF0000"/>
      <name val="Courier New"/>
      <family val="3"/>
    </font>
    <font>
      <sz val="10"/>
      <color rgb="FFFF0000"/>
      <name val="Courier New"/>
      <family val="3"/>
    </font>
    <font>
      <b/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rgb="FF92D050"/>
      <name val="Arial"/>
      <family val="2"/>
    </font>
    <font>
      <sz val="20"/>
      <name val="Arial"/>
      <family val="2"/>
    </font>
    <font>
      <b/>
      <sz val="12"/>
      <color indexed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indexed="8"/>
      <name val="Calibri"/>
      <family val="2"/>
    </font>
    <font>
      <sz val="15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3">
    <xf numFmtId="0" fontId="0" fillId="0" borderId="0" xfId="0"/>
    <xf numFmtId="0" fontId="6" fillId="2" borderId="0" xfId="0" applyFont="1" applyFill="1"/>
    <xf numFmtId="0" fontId="6" fillId="0" borderId="0" xfId="0" applyFont="1"/>
    <xf numFmtId="0" fontId="7" fillId="0" borderId="0" xfId="0" applyFont="1" applyAlignment="1">
      <alignment horizontal="left" wrapText="1"/>
    </xf>
    <xf numFmtId="164" fontId="6" fillId="0" borderId="0" xfId="0" applyNumberFormat="1" applyFont="1"/>
    <xf numFmtId="9" fontId="10" fillId="2" borderId="8" xfId="0" applyNumberFormat="1" applyFont="1" applyFill="1" applyBorder="1" applyAlignment="1"/>
    <xf numFmtId="0" fontId="6" fillId="2" borderId="8" xfId="0" applyFont="1" applyFill="1" applyBorder="1" applyAlignment="1"/>
    <xf numFmtId="0" fontId="7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/>
    </xf>
    <xf numFmtId="0" fontId="12" fillId="3" borderId="3" xfId="0" applyFont="1" applyFill="1" applyBorder="1" applyAlignment="1"/>
    <xf numFmtId="0" fontId="12" fillId="3" borderId="4" xfId="0" applyFont="1" applyFill="1" applyBorder="1" applyAlignment="1"/>
    <xf numFmtId="0" fontId="9" fillId="2" borderId="18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164" fontId="9" fillId="2" borderId="18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wrapText="1"/>
    </xf>
    <xf numFmtId="164" fontId="12" fillId="3" borderId="4" xfId="0" applyNumberFormat="1" applyFont="1" applyFill="1" applyBorder="1" applyAlignment="1"/>
    <xf numFmtId="0" fontId="12" fillId="3" borderId="12" xfId="0" applyFont="1" applyFill="1" applyBorder="1" applyAlignment="1"/>
    <xf numFmtId="0" fontId="12" fillId="3" borderId="3" xfId="0" applyFont="1" applyFill="1" applyBorder="1" applyAlignment="1">
      <alignment horizontal="center" vertical="center"/>
    </xf>
    <xf numFmtId="4" fontId="6" fillId="0" borderId="0" xfId="0" applyNumberFormat="1" applyFont="1"/>
    <xf numFmtId="165" fontId="6" fillId="0" borderId="0" xfId="0" applyNumberFormat="1" applyFont="1"/>
    <xf numFmtId="164" fontId="12" fillId="2" borderId="14" xfId="0" applyNumberFormat="1" applyFont="1" applyFill="1" applyBorder="1" applyAlignment="1">
      <alignment vertical="center"/>
    </xf>
    <xf numFmtId="4" fontId="6" fillId="2" borderId="3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center" vertical="center"/>
    </xf>
    <xf numFmtId="164" fontId="12" fillId="3" borderId="19" xfId="0" applyNumberFormat="1" applyFont="1" applyFill="1" applyBorder="1" applyAlignment="1"/>
    <xf numFmtId="0" fontId="6" fillId="3" borderId="0" xfId="0" applyFont="1" applyFill="1"/>
    <xf numFmtId="0" fontId="6" fillId="3" borderId="1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12" fillId="3" borderId="22" xfId="0" applyFont="1" applyFill="1" applyBorder="1" applyAlignment="1"/>
    <xf numFmtId="0" fontId="12" fillId="3" borderId="22" xfId="0" applyFont="1" applyFill="1" applyBorder="1" applyAlignment="1">
      <alignment horizontal="left" wrapText="1"/>
    </xf>
    <xf numFmtId="0" fontId="4" fillId="3" borderId="22" xfId="0" applyFont="1" applyFill="1" applyBorder="1" applyAlignment="1">
      <alignment horizontal="left" wrapText="1"/>
    </xf>
    <xf numFmtId="0" fontId="4" fillId="3" borderId="2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left" wrapText="1"/>
    </xf>
    <xf numFmtId="0" fontId="4" fillId="2" borderId="22" xfId="0" applyFont="1" applyFill="1" applyBorder="1" applyAlignment="1">
      <alignment horizontal="center" vertical="center"/>
    </xf>
    <xf numFmtId="4" fontId="6" fillId="2" borderId="22" xfId="0" applyNumberFormat="1" applyFont="1" applyFill="1" applyBorder="1" applyAlignment="1">
      <alignment horizontal="center" vertical="center"/>
    </xf>
    <xf numFmtId="164" fontId="12" fillId="2" borderId="19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44" fontId="5" fillId="2" borderId="4" xfId="4" applyFont="1" applyFill="1" applyBorder="1" applyAlignment="1">
      <alignment horizontal="center" vertical="center"/>
    </xf>
    <xf numFmtId="0" fontId="5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3" borderId="1" xfId="0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0" fontId="5" fillId="3" borderId="0" xfId="0" applyFont="1" applyFill="1"/>
    <xf numFmtId="164" fontId="6" fillId="2" borderId="1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44" fontId="4" fillId="2" borderId="1" xfId="4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4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12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44" fontId="6" fillId="4" borderId="1" xfId="4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wrapText="1"/>
    </xf>
    <xf numFmtId="4" fontId="5" fillId="2" borderId="1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7" fillId="0" borderId="0" xfId="0" applyNumberFormat="1" applyFont="1"/>
    <xf numFmtId="164" fontId="18" fillId="2" borderId="15" xfId="0" applyNumberFormat="1" applyFont="1" applyFill="1" applyBorder="1" applyAlignment="1">
      <alignment horizontal="center" vertical="center" wrapText="1"/>
    </xf>
    <xf numFmtId="164" fontId="18" fillId="2" borderId="16" xfId="0" applyNumberFormat="1" applyFont="1" applyFill="1" applyBorder="1" applyAlignment="1">
      <alignment horizontal="center" vertical="center" wrapText="1"/>
    </xf>
    <xf numFmtId="164" fontId="18" fillId="2" borderId="17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right" vertical="center"/>
    </xf>
    <xf numFmtId="164" fontId="11" fillId="2" borderId="21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/>
    <xf numFmtId="164" fontId="7" fillId="2" borderId="1" xfId="0" applyNumberFormat="1" applyFont="1" applyFill="1" applyBorder="1" applyAlignment="1">
      <alignment horizontal="right" vertical="center"/>
    </xf>
    <xf numFmtId="164" fontId="16" fillId="3" borderId="4" xfId="0" applyNumberFormat="1" applyFont="1" applyFill="1" applyBorder="1" applyAlignment="1">
      <alignment vertical="center"/>
    </xf>
    <xf numFmtId="164" fontId="16" fillId="2" borderId="4" xfId="0" applyNumberFormat="1" applyFont="1" applyFill="1" applyBorder="1" applyAlignment="1">
      <alignment vertical="center"/>
    </xf>
    <xf numFmtId="44" fontId="7" fillId="4" borderId="1" xfId="4" applyFont="1" applyFill="1" applyBorder="1" applyAlignment="1">
      <alignment horizontal="center" vertical="center"/>
    </xf>
    <xf numFmtId="44" fontId="4" fillId="3" borderId="3" xfId="4" applyFont="1" applyFill="1" applyBorder="1" applyAlignment="1">
      <alignment horizontal="center" vertical="center"/>
    </xf>
    <xf numFmtId="44" fontId="4" fillId="2" borderId="3" xfId="4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4" fillId="3" borderId="22" xfId="0" applyNumberFormat="1" applyFont="1" applyFill="1" applyBorder="1" applyAlignment="1">
      <alignment horizontal="right" vertical="center"/>
    </xf>
    <xf numFmtId="164" fontId="7" fillId="2" borderId="22" xfId="0" applyNumberFormat="1" applyFont="1" applyFill="1" applyBorder="1" applyAlignment="1">
      <alignment horizontal="right" vertical="center"/>
    </xf>
    <xf numFmtId="164" fontId="16" fillId="3" borderId="22" xfId="0" applyNumberFormat="1" applyFont="1" applyFill="1" applyBorder="1" applyAlignment="1"/>
    <xf numFmtId="164" fontId="16" fillId="3" borderId="2" xfId="0" applyNumberFormat="1" applyFont="1" applyFill="1" applyBorder="1" applyAlignment="1">
      <alignment vertical="center"/>
    </xf>
    <xf numFmtId="164" fontId="16" fillId="2" borderId="12" xfId="0" applyNumberFormat="1" applyFont="1" applyFill="1" applyBorder="1" applyAlignment="1">
      <alignment vertical="center"/>
    </xf>
    <xf numFmtId="0" fontId="16" fillId="3" borderId="12" xfId="0" applyFont="1" applyFill="1" applyBorder="1" applyAlignment="1"/>
    <xf numFmtId="164" fontId="7" fillId="3" borderId="3" xfId="0" applyNumberFormat="1" applyFont="1" applyFill="1" applyBorder="1" applyAlignment="1">
      <alignment horizontal="right" vertical="center"/>
    </xf>
    <xf numFmtId="0" fontId="16" fillId="3" borderId="3" xfId="0" applyFont="1" applyFill="1" applyBorder="1" applyAlignment="1"/>
    <xf numFmtId="44" fontId="19" fillId="4" borderId="1" xfId="4" applyFont="1" applyFill="1" applyBorder="1" applyAlignment="1">
      <alignment horizontal="center" vertical="center"/>
    </xf>
    <xf numFmtId="0" fontId="20" fillId="3" borderId="3" xfId="0" applyFont="1" applyFill="1" applyBorder="1" applyAlignment="1"/>
    <xf numFmtId="164" fontId="7" fillId="0" borderId="0" xfId="0" applyNumberFormat="1" applyFont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164" fontId="4" fillId="2" borderId="1" xfId="4" applyNumberFormat="1" applyFont="1" applyFill="1" applyBorder="1" applyAlignment="1">
      <alignment horizontal="center" vertical="center"/>
    </xf>
    <xf numFmtId="164" fontId="4" fillId="2" borderId="5" xfId="4" applyNumberFormat="1" applyFont="1" applyFill="1" applyBorder="1" applyAlignment="1">
      <alignment horizontal="center" vertical="center"/>
    </xf>
    <xf numFmtId="164" fontId="4" fillId="2" borderId="11" xfId="4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vertical="center"/>
    </xf>
    <xf numFmtId="164" fontId="19" fillId="0" borderId="0" xfId="0" applyNumberFormat="1" applyFont="1" applyAlignment="1">
      <alignment horizontal="center" vertical="center"/>
    </xf>
    <xf numFmtId="164" fontId="19" fillId="2" borderId="0" xfId="0" applyNumberFormat="1" applyFont="1" applyFill="1" applyAlignment="1">
      <alignment horizontal="center" vertical="center"/>
    </xf>
    <xf numFmtId="164" fontId="20" fillId="3" borderId="3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44" fontId="21" fillId="0" borderId="3" xfId="4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164" fontId="20" fillId="3" borderId="22" xfId="0" applyNumberFormat="1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vertical="center"/>
    </xf>
    <xf numFmtId="0" fontId="2" fillId="0" borderId="0" xfId="21"/>
    <xf numFmtId="0" fontId="23" fillId="0" borderId="18" xfId="21" applyFont="1" applyBorder="1" applyAlignment="1"/>
    <xf numFmtId="10" fontId="24" fillId="0" borderId="8" xfId="21" applyNumberFormat="1" applyFont="1" applyFill="1" applyBorder="1" applyAlignment="1">
      <alignment vertical="center"/>
    </xf>
    <xf numFmtId="0" fontId="24" fillId="0" borderId="8" xfId="21" applyNumberFormat="1" applyFont="1" applyFill="1" applyBorder="1" applyAlignment="1">
      <alignment vertical="center"/>
    </xf>
    <xf numFmtId="167" fontId="23" fillId="0" borderId="18" xfId="21" applyNumberFormat="1" applyFont="1" applyBorder="1" applyAlignment="1"/>
    <xf numFmtId="0" fontId="25" fillId="0" borderId="25" xfId="21" applyFont="1" applyBorder="1" applyAlignment="1">
      <alignment horizontal="center" vertical="center"/>
    </xf>
    <xf numFmtId="0" fontId="25" fillId="0" borderId="28" xfId="21" applyFont="1" applyBorder="1" applyAlignment="1">
      <alignment horizontal="center" wrapText="1"/>
    </xf>
    <xf numFmtId="0" fontId="24" fillId="6" borderId="29" xfId="21" applyFont="1" applyFill="1" applyBorder="1" applyAlignment="1">
      <alignment horizontal="center"/>
    </xf>
    <xf numFmtId="4" fontId="24" fillId="6" borderId="30" xfId="21" applyNumberFormat="1" applyFont="1" applyFill="1" applyBorder="1" applyAlignment="1">
      <alignment horizontal="center"/>
    </xf>
    <xf numFmtId="0" fontId="25" fillId="0" borderId="0" xfId="21" applyFont="1" applyFill="1" applyBorder="1" applyAlignment="1">
      <alignment horizontal="center" vertical="center"/>
    </xf>
    <xf numFmtId="0" fontId="2" fillId="0" borderId="31" xfId="21" applyFont="1" applyBorder="1" applyAlignment="1">
      <alignment horizontal="center"/>
    </xf>
    <xf numFmtId="2" fontId="2" fillId="0" borderId="35" xfId="22" applyNumberFormat="1" applyFont="1" applyBorder="1" applyAlignment="1">
      <alignment horizontal="center"/>
    </xf>
    <xf numFmtId="2" fontId="26" fillId="0" borderId="21" xfId="20" applyNumberFormat="1" applyFont="1" applyBorder="1" applyAlignment="1">
      <alignment horizontal="center" vertical="center"/>
    </xf>
    <xf numFmtId="2" fontId="27" fillId="0" borderId="23" xfId="20" applyNumberFormat="1" applyFont="1" applyBorder="1" applyAlignment="1">
      <alignment horizontal="center" vertical="center"/>
    </xf>
    <xf numFmtId="0" fontId="2" fillId="0" borderId="36" xfId="21" applyFont="1" applyBorder="1" applyAlignment="1">
      <alignment horizontal="center"/>
    </xf>
    <xf numFmtId="2" fontId="2" fillId="0" borderId="37" xfId="22" applyNumberFormat="1" applyFont="1" applyBorder="1" applyAlignment="1">
      <alignment horizontal="center"/>
    </xf>
    <xf numFmtId="0" fontId="2" fillId="0" borderId="38" xfId="21" applyFont="1" applyBorder="1" applyAlignment="1">
      <alignment horizontal="center"/>
    </xf>
    <xf numFmtId="2" fontId="2" fillId="0" borderId="42" xfId="22" applyNumberFormat="1" applyFont="1" applyBorder="1" applyAlignment="1">
      <alignment horizontal="center"/>
    </xf>
    <xf numFmtId="2" fontId="26" fillId="0" borderId="21" xfId="21" applyNumberFormat="1" applyFont="1" applyBorder="1" applyAlignment="1">
      <alignment horizontal="center"/>
    </xf>
    <xf numFmtId="0" fontId="27" fillId="0" borderId="23" xfId="21" applyFont="1" applyBorder="1" applyAlignment="1">
      <alignment horizontal="center"/>
    </xf>
    <xf numFmtId="0" fontId="2" fillId="0" borderId="43" xfId="21" applyFont="1" applyBorder="1" applyAlignment="1">
      <alignment horizontal="center"/>
    </xf>
    <xf numFmtId="4" fontId="2" fillId="0" borderId="44" xfId="21" applyNumberFormat="1" applyFont="1" applyBorder="1" applyAlignment="1">
      <alignment horizontal="center"/>
    </xf>
    <xf numFmtId="0" fontId="26" fillId="0" borderId="0" xfId="21" applyFont="1" applyFill="1" applyBorder="1" applyAlignment="1">
      <alignment vertical="center"/>
    </xf>
    <xf numFmtId="0" fontId="24" fillId="0" borderId="31" xfId="21" applyFont="1" applyBorder="1" applyAlignment="1">
      <alignment horizontal="center"/>
    </xf>
    <xf numFmtId="4" fontId="2" fillId="2" borderId="35" xfId="21" applyNumberFormat="1" applyFont="1" applyFill="1" applyBorder="1" applyAlignment="1">
      <alignment horizontal="center"/>
    </xf>
    <xf numFmtId="0" fontId="24" fillId="0" borderId="36" xfId="21" applyFont="1" applyBorder="1" applyAlignment="1">
      <alignment horizontal="center"/>
    </xf>
    <xf numFmtId="4" fontId="2" fillId="0" borderId="37" xfId="21" applyNumberFormat="1" applyFont="1" applyBorder="1" applyAlignment="1">
      <alignment horizontal="center"/>
    </xf>
    <xf numFmtId="0" fontId="24" fillId="0" borderId="38" xfId="21" applyFont="1" applyBorder="1" applyAlignment="1">
      <alignment horizontal="center"/>
    </xf>
    <xf numFmtId="4" fontId="2" fillId="0" borderId="42" xfId="21" applyNumberFormat="1" applyFont="1" applyBorder="1" applyAlignment="1">
      <alignment horizontal="center"/>
    </xf>
    <xf numFmtId="0" fontId="2" fillId="0" borderId="0" xfId="21" applyFill="1" applyBorder="1"/>
    <xf numFmtId="2" fontId="28" fillId="0" borderId="0" xfId="21" applyNumberFormat="1" applyFont="1"/>
    <xf numFmtId="2" fontId="30" fillId="6" borderId="18" xfId="21" applyNumberFormat="1" applyFont="1" applyFill="1" applyBorder="1" applyAlignment="1">
      <alignment horizontal="center" vertical="center"/>
    </xf>
    <xf numFmtId="166" fontId="31" fillId="0" borderId="18" xfId="23" applyFont="1" applyBorder="1" applyAlignment="1">
      <alignment vertical="center"/>
    </xf>
    <xf numFmtId="10" fontId="26" fillId="0" borderId="0" xfId="22" applyNumberFormat="1" applyFont="1" applyFill="1" applyBorder="1" applyAlignment="1">
      <alignment vertical="center"/>
    </xf>
    <xf numFmtId="0" fontId="2" fillId="0" borderId="0" xfId="21" applyFont="1"/>
    <xf numFmtId="0" fontId="33" fillId="0" borderId="0" xfId="21" applyFont="1"/>
    <xf numFmtId="0" fontId="34" fillId="2" borderId="0" xfId="0" applyFont="1" applyFill="1"/>
    <xf numFmtId="0" fontId="34" fillId="0" borderId="0" xfId="0" applyFont="1"/>
    <xf numFmtId="0" fontId="35" fillId="0" borderId="0" xfId="0" applyFont="1" applyAlignment="1">
      <alignment horizontal="left" wrapText="1"/>
    </xf>
    <xf numFmtId="164" fontId="36" fillId="0" borderId="0" xfId="0" applyNumberFormat="1" applyFont="1" applyAlignment="1">
      <alignment horizontal="center" vertical="center"/>
    </xf>
    <xf numFmtId="164" fontId="35" fillId="0" borderId="0" xfId="0" applyNumberFormat="1" applyFont="1"/>
    <xf numFmtId="164" fontId="34" fillId="0" borderId="0" xfId="0" applyNumberFormat="1" applyFont="1"/>
    <xf numFmtId="0" fontId="35" fillId="0" borderId="0" xfId="0" applyFont="1" applyFill="1" applyBorder="1"/>
    <xf numFmtId="164" fontId="22" fillId="2" borderId="15" xfId="0" applyNumberFormat="1" applyFont="1" applyFill="1" applyBorder="1" applyAlignment="1">
      <alignment horizontal="center" vertical="center" wrapText="1"/>
    </xf>
    <xf numFmtId="164" fontId="22" fillId="2" borderId="16" xfId="0" applyNumberFormat="1" applyFont="1" applyFill="1" applyBorder="1" applyAlignment="1">
      <alignment horizontal="center" vertical="center" wrapText="1"/>
    </xf>
    <xf numFmtId="164" fontId="22" fillId="2" borderId="17" xfId="0" applyNumberFormat="1" applyFont="1" applyFill="1" applyBorder="1" applyAlignment="1">
      <alignment horizontal="center" vertical="center" wrapText="1"/>
    </xf>
    <xf numFmtId="0" fontId="34" fillId="2" borderId="8" xfId="0" applyFont="1" applyFill="1" applyBorder="1"/>
    <xf numFmtId="0" fontId="34" fillId="2" borderId="0" xfId="0" applyFont="1" applyFill="1" applyBorder="1"/>
    <xf numFmtId="0" fontId="35" fillId="2" borderId="0" xfId="0" applyFont="1" applyFill="1" applyBorder="1" applyAlignment="1">
      <alignment horizontal="left" wrapText="1"/>
    </xf>
    <xf numFmtId="0" fontId="34" fillId="2" borderId="0" xfId="0" applyFont="1" applyFill="1" applyBorder="1" applyAlignment="1">
      <alignment horizontal="center" vertical="center"/>
    </xf>
    <xf numFmtId="164" fontId="36" fillId="2" borderId="0" xfId="0" applyNumberFormat="1" applyFont="1" applyFill="1" applyBorder="1" applyAlignment="1">
      <alignment horizontal="center" vertical="center"/>
    </xf>
    <xf numFmtId="164" fontId="35" fillId="2" borderId="0" xfId="0" applyNumberFormat="1" applyFont="1" applyFill="1" applyBorder="1" applyAlignment="1">
      <alignment horizontal="right" vertical="center"/>
    </xf>
    <xf numFmtId="164" fontId="34" fillId="2" borderId="16" xfId="0" applyNumberFormat="1" applyFont="1" applyFill="1" applyBorder="1" applyAlignment="1">
      <alignment horizontal="right" vertical="center"/>
    </xf>
    <xf numFmtId="0" fontId="38" fillId="2" borderId="18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 wrapText="1"/>
    </xf>
    <xf numFmtId="0" fontId="38" fillId="2" borderId="21" xfId="0" applyFont="1" applyFill="1" applyBorder="1" applyAlignment="1">
      <alignment horizontal="center" vertical="center"/>
    </xf>
    <xf numFmtId="164" fontId="31" fillId="2" borderId="21" xfId="0" applyNumberFormat="1" applyFont="1" applyFill="1" applyBorder="1" applyAlignment="1">
      <alignment horizontal="center" vertical="center" wrapText="1"/>
    </xf>
    <xf numFmtId="164" fontId="38" fillId="2" borderId="18" xfId="0" applyNumberFormat="1" applyFont="1" applyFill="1" applyBorder="1" applyAlignment="1">
      <alignment horizontal="center" vertical="center"/>
    </xf>
    <xf numFmtId="0" fontId="39" fillId="3" borderId="36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left" wrapText="1"/>
    </xf>
    <xf numFmtId="0" fontId="39" fillId="3" borderId="3" xfId="0" applyFont="1" applyFill="1" applyBorder="1" applyAlignment="1"/>
    <xf numFmtId="164" fontId="25" fillId="3" borderId="3" xfId="0" applyNumberFormat="1" applyFont="1" applyFill="1" applyBorder="1" applyAlignment="1">
      <alignment horizontal="center" vertical="center"/>
    </xf>
    <xf numFmtId="164" fontId="25" fillId="3" borderId="3" xfId="0" applyNumberFormat="1" applyFont="1" applyFill="1" applyBorder="1" applyAlignment="1"/>
    <xf numFmtId="164" fontId="39" fillId="3" borderId="45" xfId="0" applyNumberFormat="1" applyFont="1" applyFill="1" applyBorder="1" applyAlignment="1"/>
    <xf numFmtId="0" fontId="34" fillId="2" borderId="36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0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4" fontId="34" fillId="2" borderId="1" xfId="0" applyNumberFormat="1" applyFont="1" applyFill="1" applyBorder="1" applyAlignment="1">
      <alignment horizontal="center" vertical="center"/>
    </xf>
    <xf numFmtId="44" fontId="2" fillId="2" borderId="1" xfId="4" applyFont="1" applyFill="1" applyBorder="1" applyAlignment="1">
      <alignment horizontal="center" vertical="center"/>
    </xf>
    <xf numFmtId="164" fontId="35" fillId="2" borderId="1" xfId="0" applyNumberFormat="1" applyFont="1" applyFill="1" applyBorder="1" applyAlignment="1">
      <alignment horizontal="right" vertical="center"/>
    </xf>
    <xf numFmtId="164" fontId="34" fillId="2" borderId="3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4" fillId="3" borderId="36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4" fontId="34" fillId="3" borderId="3" xfId="0" applyNumberFormat="1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164" fontId="25" fillId="3" borderId="4" xfId="0" applyNumberFormat="1" applyFont="1" applyFill="1" applyBorder="1" applyAlignment="1">
      <alignment vertical="center"/>
    </xf>
    <xf numFmtId="164" fontId="39" fillId="3" borderId="45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4" fontId="34" fillId="2" borderId="3" xfId="0" applyNumberFormat="1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center" vertical="center"/>
    </xf>
    <xf numFmtId="164" fontId="25" fillId="2" borderId="4" xfId="0" applyNumberFormat="1" applyFont="1" applyFill="1" applyBorder="1" applyAlignment="1">
      <alignment vertical="center"/>
    </xf>
    <xf numFmtId="164" fontId="39" fillId="2" borderId="45" xfId="0" applyNumberFormat="1" applyFont="1" applyFill="1" applyBorder="1" applyAlignment="1">
      <alignment vertical="center"/>
    </xf>
    <xf numFmtId="0" fontId="25" fillId="4" borderId="36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wrapText="1"/>
    </xf>
    <xf numFmtId="0" fontId="42" fillId="4" borderId="1" xfId="0" applyFont="1" applyFill="1" applyBorder="1" applyAlignment="1">
      <alignment horizontal="center" vertical="center" wrapText="1"/>
    </xf>
    <xf numFmtId="44" fontId="36" fillId="4" borderId="1" xfId="4" applyFont="1" applyFill="1" applyBorder="1" applyAlignment="1">
      <alignment horizontal="center" vertical="center"/>
    </xf>
    <xf numFmtId="44" fontId="35" fillId="4" borderId="1" xfId="4" applyFont="1" applyFill="1" applyBorder="1" applyAlignment="1">
      <alignment horizontal="center" vertical="center"/>
    </xf>
    <xf numFmtId="44" fontId="34" fillId="4" borderId="37" xfId="4" applyFont="1" applyFill="1" applyBorder="1" applyAlignment="1">
      <alignment horizontal="center" vertical="center"/>
    </xf>
    <xf numFmtId="0" fontId="40" fillId="2" borderId="0" xfId="0" applyFont="1" applyFill="1"/>
    <xf numFmtId="0" fontId="2" fillId="2" borderId="36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vertical="center" wrapText="1"/>
    </xf>
    <xf numFmtId="0" fontId="43" fillId="2" borderId="1" xfId="0" applyFont="1" applyFill="1" applyBorder="1" applyAlignment="1">
      <alignment horizontal="center" vertical="center" wrapText="1"/>
    </xf>
    <xf numFmtId="2" fontId="43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2" fontId="40" fillId="2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2" fillId="3" borderId="36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3" fillId="3" borderId="3" xfId="0" applyFont="1" applyFill="1" applyBorder="1" applyAlignment="1">
      <alignment vertical="center" wrapText="1"/>
    </xf>
    <xf numFmtId="0" fontId="40" fillId="3" borderId="3" xfId="0" applyFont="1" applyFill="1" applyBorder="1" applyAlignment="1">
      <alignment horizontal="center" vertical="center"/>
    </xf>
    <xf numFmtId="2" fontId="40" fillId="3" borderId="3" xfId="0" applyNumberFormat="1" applyFont="1" applyFill="1" applyBorder="1" applyAlignment="1">
      <alignment horizontal="center" vertical="center"/>
    </xf>
    <xf numFmtId="44" fontId="2" fillId="3" borderId="3" xfId="4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/>
    </xf>
    <xf numFmtId="2" fontId="40" fillId="0" borderId="3" xfId="0" applyNumberFormat="1" applyFont="1" applyFill="1" applyBorder="1" applyAlignment="1">
      <alignment horizontal="center" vertical="center"/>
    </xf>
    <xf numFmtId="44" fontId="26" fillId="0" borderId="3" xfId="4" applyFont="1" applyFill="1" applyBorder="1" applyAlignment="1">
      <alignment horizontal="center" vertical="center"/>
    </xf>
    <xf numFmtId="44" fontId="2" fillId="2" borderId="3" xfId="4" applyFont="1" applyFill="1" applyBorder="1" applyAlignment="1">
      <alignment horizontal="center" vertical="center"/>
    </xf>
    <xf numFmtId="44" fontId="40" fillId="2" borderId="45" xfId="4" applyFont="1" applyFill="1" applyBorder="1" applyAlignment="1">
      <alignment horizontal="center" vertical="center"/>
    </xf>
    <xf numFmtId="164" fontId="41" fillId="3" borderId="3" xfId="0" applyNumberFormat="1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" fontId="40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wrapText="1"/>
    </xf>
    <xf numFmtId="0" fontId="2" fillId="3" borderId="22" xfId="0" applyFont="1" applyFill="1" applyBorder="1" applyAlignment="1">
      <alignment horizontal="center" vertical="center"/>
    </xf>
    <xf numFmtId="4" fontId="40" fillId="3" borderId="22" xfId="0" applyNumberFormat="1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/>
    </xf>
    <xf numFmtId="164" fontId="2" fillId="3" borderId="22" xfId="0" applyNumberFormat="1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left" wrapText="1"/>
    </xf>
    <xf numFmtId="0" fontId="2" fillId="2" borderId="22" xfId="0" applyFont="1" applyFill="1" applyBorder="1" applyAlignment="1">
      <alignment horizontal="center" vertical="center"/>
    </xf>
    <xf numFmtId="4" fontId="34" fillId="2" borderId="22" xfId="0" applyNumberFormat="1" applyFont="1" applyFill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/>
    </xf>
    <xf numFmtId="164" fontId="35" fillId="2" borderId="22" xfId="0" applyNumberFormat="1" applyFont="1" applyFill="1" applyBorder="1" applyAlignment="1">
      <alignment horizontal="right" vertical="center"/>
    </xf>
    <xf numFmtId="164" fontId="39" fillId="2" borderId="46" xfId="0" applyNumberFormat="1" applyFont="1" applyFill="1" applyBorder="1" applyAlignment="1">
      <alignment vertical="center"/>
    </xf>
    <xf numFmtId="0" fontId="39" fillId="3" borderId="22" xfId="0" applyFont="1" applyFill="1" applyBorder="1" applyAlignment="1">
      <alignment horizontal="left" wrapText="1"/>
    </xf>
    <xf numFmtId="0" fontId="39" fillId="3" borderId="22" xfId="0" applyFont="1" applyFill="1" applyBorder="1" applyAlignment="1"/>
    <xf numFmtId="164" fontId="41" fillId="3" borderId="22" xfId="0" applyNumberFormat="1" applyFont="1" applyFill="1" applyBorder="1" applyAlignment="1">
      <alignment horizontal="center" vertical="center"/>
    </xf>
    <xf numFmtId="164" fontId="25" fillId="3" borderId="22" xfId="0" applyNumberFormat="1" applyFont="1" applyFill="1" applyBorder="1" applyAlignment="1"/>
    <xf numFmtId="164" fontId="39" fillId="3" borderId="46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40" fillId="2" borderId="1" xfId="0" applyFont="1" applyFill="1" applyBorder="1" applyAlignment="1">
      <alignment horizontal="left" wrapText="1"/>
    </xf>
    <xf numFmtId="164" fontId="2" fillId="2" borderId="1" xfId="4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left" vertical="center"/>
    </xf>
    <xf numFmtId="0" fontId="40" fillId="2" borderId="5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center" vertical="center"/>
    </xf>
    <xf numFmtId="4" fontId="40" fillId="2" borderId="5" xfId="0" applyNumberFormat="1" applyFont="1" applyFill="1" applyBorder="1" applyAlignment="1">
      <alignment horizontal="center" vertical="center"/>
    </xf>
    <xf numFmtId="164" fontId="2" fillId="2" borderId="5" xfId="4" applyNumberFormat="1" applyFont="1" applyFill="1" applyBorder="1" applyAlignment="1">
      <alignment horizontal="center" vertical="center"/>
    </xf>
    <xf numFmtId="0" fontId="39" fillId="3" borderId="47" xfId="0" applyFont="1" applyFill="1" applyBorder="1" applyAlignment="1">
      <alignment vertical="center"/>
    </xf>
    <xf numFmtId="0" fontId="39" fillId="3" borderId="3" xfId="0" applyFont="1" applyFill="1" applyBorder="1" applyAlignment="1">
      <alignment vertical="center"/>
    </xf>
    <xf numFmtId="164" fontId="25" fillId="3" borderId="2" xfId="0" applyNumberFormat="1" applyFont="1" applyFill="1" applyBorder="1" applyAlignment="1">
      <alignment vertical="center"/>
    </xf>
    <xf numFmtId="0" fontId="39" fillId="2" borderId="48" xfId="0" applyFont="1" applyFill="1" applyBorder="1" applyAlignment="1">
      <alignment vertical="center"/>
    </xf>
    <xf numFmtId="0" fontId="39" fillId="2" borderId="12" xfId="0" applyFont="1" applyFill="1" applyBorder="1" applyAlignment="1">
      <alignment vertical="center"/>
    </xf>
    <xf numFmtId="0" fontId="41" fillId="2" borderId="12" xfId="0" applyFont="1" applyFill="1" applyBorder="1" applyAlignment="1">
      <alignment horizontal="center" vertical="center"/>
    </xf>
    <xf numFmtId="164" fontId="25" fillId="2" borderId="12" xfId="0" applyNumberFormat="1" applyFont="1" applyFill="1" applyBorder="1" applyAlignment="1">
      <alignment vertical="center"/>
    </xf>
    <xf numFmtId="164" fontId="39" fillId="2" borderId="49" xfId="0" applyNumberFormat="1" applyFont="1" applyFill="1" applyBorder="1" applyAlignment="1">
      <alignment vertical="center"/>
    </xf>
    <xf numFmtId="0" fontId="39" fillId="3" borderId="38" xfId="0" applyFont="1" applyFill="1" applyBorder="1" applyAlignment="1">
      <alignment horizontal="center" vertical="center"/>
    </xf>
    <xf numFmtId="0" fontId="39" fillId="3" borderId="13" xfId="0" applyFont="1" applyFill="1" applyBorder="1" applyAlignment="1">
      <alignment horizontal="center" vertical="center"/>
    </xf>
    <xf numFmtId="0" fontId="39" fillId="3" borderId="12" xfId="0" applyFont="1" applyFill="1" applyBorder="1" applyAlignment="1"/>
    <xf numFmtId="0" fontId="41" fillId="3" borderId="12" xfId="0" applyFont="1" applyFill="1" applyBorder="1" applyAlignment="1">
      <alignment horizontal="center" vertical="center"/>
    </xf>
    <xf numFmtId="0" fontId="25" fillId="3" borderId="12" xfId="0" applyFont="1" applyFill="1" applyBorder="1" applyAlignment="1"/>
    <xf numFmtId="0" fontId="39" fillId="3" borderId="45" xfId="0" applyFont="1" applyFill="1" applyBorder="1" applyAlignment="1"/>
    <xf numFmtId="0" fontId="34" fillId="3" borderId="47" xfId="0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horizontal="left" vertical="center" wrapText="1"/>
    </xf>
    <xf numFmtId="164" fontId="35" fillId="3" borderId="3" xfId="0" applyNumberFormat="1" applyFont="1" applyFill="1" applyBorder="1" applyAlignment="1">
      <alignment horizontal="right" vertical="center"/>
    </xf>
    <xf numFmtId="0" fontId="39" fillId="3" borderId="47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0" fontId="41" fillId="3" borderId="3" xfId="0" applyFont="1" applyFill="1" applyBorder="1" applyAlignment="1"/>
    <xf numFmtId="0" fontId="25" fillId="3" borderId="3" xfId="0" applyFont="1" applyFill="1" applyBorder="1" applyAlignment="1"/>
    <xf numFmtId="0" fontId="40" fillId="2" borderId="31" xfId="0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left" wrapText="1"/>
    </xf>
    <xf numFmtId="4" fontId="40" fillId="2" borderId="11" xfId="0" applyNumberFormat="1" applyFont="1" applyFill="1" applyBorder="1" applyAlignment="1">
      <alignment horizontal="center" vertical="center"/>
    </xf>
    <xf numFmtId="164" fontId="2" fillId="2" borderId="11" xfId="4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vertical="center" wrapText="1"/>
    </xf>
    <xf numFmtId="0" fontId="25" fillId="3" borderId="4" xfId="0" applyFont="1" applyFill="1" applyBorder="1" applyAlignment="1">
      <alignment vertical="center"/>
    </xf>
    <xf numFmtId="0" fontId="41" fillId="2" borderId="12" xfId="0" applyFont="1" applyFill="1" applyBorder="1" applyAlignment="1">
      <alignment vertical="center"/>
    </xf>
    <xf numFmtId="0" fontId="34" fillId="0" borderId="8" xfId="0" applyFont="1" applyBorder="1"/>
    <xf numFmtId="0" fontId="34" fillId="0" borderId="0" xfId="0" applyFont="1" applyBorder="1"/>
    <xf numFmtId="0" fontId="35" fillId="0" borderId="0" xfId="0" applyFont="1" applyBorder="1" applyAlignment="1">
      <alignment horizontal="left" wrapText="1"/>
    </xf>
    <xf numFmtId="164" fontId="35" fillId="0" borderId="0" xfId="0" applyNumberFormat="1" applyFont="1" applyBorder="1" applyAlignment="1">
      <alignment horizontal="center" vertical="center"/>
    </xf>
    <xf numFmtId="164" fontId="35" fillId="0" borderId="0" xfId="0" applyNumberFormat="1" applyFont="1" applyBorder="1"/>
    <xf numFmtId="164" fontId="34" fillId="0" borderId="16" xfId="0" applyNumberFormat="1" applyFont="1" applyBorder="1"/>
    <xf numFmtId="0" fontId="34" fillId="3" borderId="50" xfId="0" applyFont="1" applyFill="1" applyBorder="1" applyAlignment="1">
      <alignment horizontal="center" vertical="center"/>
    </xf>
    <xf numFmtId="0" fontId="34" fillId="3" borderId="40" xfId="0" applyFont="1" applyFill="1" applyBorder="1" applyAlignment="1">
      <alignment horizontal="center" vertical="center"/>
    </xf>
    <xf numFmtId="0" fontId="34" fillId="3" borderId="40" xfId="0" applyFont="1" applyFill="1" applyBorder="1" applyAlignment="1">
      <alignment horizontal="left" vertical="center" wrapText="1"/>
    </xf>
    <xf numFmtId="4" fontId="34" fillId="3" borderId="40" xfId="0" applyNumberFormat="1" applyFont="1" applyFill="1" applyBorder="1" applyAlignment="1">
      <alignment horizontal="center" vertical="center"/>
    </xf>
    <xf numFmtId="0" fontId="25" fillId="3" borderId="41" xfId="0" applyFont="1" applyFill="1" applyBorder="1" applyAlignment="1">
      <alignment horizontal="center" vertical="center"/>
    </xf>
    <xf numFmtId="164" fontId="35" fillId="3" borderId="40" xfId="0" applyNumberFormat="1" applyFont="1" applyFill="1" applyBorder="1" applyAlignment="1">
      <alignment horizontal="right" vertical="center"/>
    </xf>
    <xf numFmtId="164" fontId="39" fillId="3" borderId="51" xfId="0" applyNumberFormat="1" applyFont="1" applyFill="1" applyBorder="1" applyAlignment="1">
      <alignment vertical="center"/>
    </xf>
    <xf numFmtId="165" fontId="34" fillId="0" borderId="0" xfId="0" applyNumberFormat="1" applyFont="1"/>
    <xf numFmtId="4" fontId="34" fillId="0" borderId="0" xfId="0" applyNumberFormat="1" applyFont="1"/>
    <xf numFmtId="9" fontId="44" fillId="2" borderId="8" xfId="0" applyNumberFormat="1" applyFont="1" applyFill="1" applyBorder="1" applyAlignment="1"/>
    <xf numFmtId="0" fontId="34" fillId="2" borderId="8" xfId="0" applyFont="1" applyFill="1" applyBorder="1" applyAlignment="1"/>
    <xf numFmtId="0" fontId="35" fillId="2" borderId="0" xfId="0" applyFont="1" applyFill="1" applyAlignment="1">
      <alignment horizontal="left" wrapText="1"/>
    </xf>
    <xf numFmtId="164" fontId="34" fillId="2" borderId="0" xfId="0" applyNumberFormat="1" applyFont="1" applyFill="1" applyAlignment="1">
      <alignment horizontal="right" vertical="center"/>
    </xf>
    <xf numFmtId="0" fontId="34" fillId="2" borderId="0" xfId="0" applyFont="1" applyFill="1" applyAlignment="1">
      <alignment vertical="center"/>
    </xf>
    <xf numFmtId="0" fontId="42" fillId="5" borderId="1" xfId="0" applyFont="1" applyFill="1" applyBorder="1" applyAlignment="1">
      <alignment horizontal="center" vertical="center"/>
    </xf>
    <xf numFmtId="164" fontId="40" fillId="2" borderId="37" xfId="0" applyNumberFormat="1" applyFont="1" applyFill="1" applyBorder="1" applyAlignment="1">
      <alignment horizontal="right" vertical="center"/>
    </xf>
    <xf numFmtId="0" fontId="34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left" vertical="center" wrapText="1"/>
    </xf>
    <xf numFmtId="164" fontId="39" fillId="3" borderId="37" xfId="0" applyNumberFormat="1" applyFont="1" applyFill="1" applyBorder="1" applyAlignment="1">
      <alignment vertical="center"/>
    </xf>
    <xf numFmtId="0" fontId="34" fillId="0" borderId="36" xfId="0" applyFont="1" applyBorder="1"/>
    <xf numFmtId="0" fontId="34" fillId="0" borderId="1" xfId="0" applyFont="1" applyBorder="1"/>
    <xf numFmtId="0" fontId="35" fillId="0" borderId="1" xfId="0" applyFont="1" applyBorder="1" applyAlignment="1">
      <alignment horizontal="left" wrapText="1"/>
    </xf>
    <xf numFmtId="164" fontId="34" fillId="0" borderId="37" xfId="0" applyNumberFormat="1" applyFont="1" applyBorder="1"/>
    <xf numFmtId="0" fontId="34" fillId="3" borderId="53" xfId="0" applyFont="1" applyFill="1" applyBorder="1" applyAlignment="1">
      <alignment horizontal="center" vertical="center"/>
    </xf>
    <xf numFmtId="0" fontId="34" fillId="3" borderId="54" xfId="0" applyFont="1" applyFill="1" applyBorder="1" applyAlignment="1">
      <alignment horizontal="center" vertical="center"/>
    </xf>
    <xf numFmtId="0" fontId="38" fillId="3" borderId="54" xfId="0" applyFont="1" applyFill="1" applyBorder="1" applyAlignment="1">
      <alignment horizontal="right" vertical="center" wrapText="1"/>
    </xf>
    <xf numFmtId="164" fontId="38" fillId="3" borderId="55" xfId="0" applyNumberFormat="1" applyFont="1" applyFill="1" applyBorder="1" applyAlignment="1">
      <alignment vertical="center"/>
    </xf>
    <xf numFmtId="0" fontId="46" fillId="0" borderId="0" xfId="0" applyFont="1" applyAlignment="1">
      <alignment horizontal="center" vertical="center"/>
    </xf>
    <xf numFmtId="0" fontId="38" fillId="2" borderId="11" xfId="0" applyFont="1" applyFill="1" applyBorder="1" applyAlignment="1">
      <alignment horizontal="center" vertical="center"/>
    </xf>
    <xf numFmtId="0" fontId="38" fillId="2" borderId="11" xfId="0" applyFont="1" applyFill="1" applyBorder="1" applyAlignment="1">
      <alignment vertical="center" wrapText="1"/>
    </xf>
    <xf numFmtId="4" fontId="38" fillId="2" borderId="11" xfId="0" applyNumberFormat="1" applyFont="1" applyFill="1" applyBorder="1" applyAlignment="1">
      <alignment horizontal="center" vertical="center"/>
    </xf>
    <xf numFmtId="44" fontId="31" fillId="2" borderId="11" xfId="4" applyFont="1" applyFill="1" applyBorder="1" applyAlignment="1">
      <alignment horizontal="center" vertical="center"/>
    </xf>
    <xf numFmtId="44" fontId="38" fillId="2" borderId="11" xfId="4" applyFont="1" applyFill="1" applyBorder="1" applyAlignment="1">
      <alignment horizontal="center" vertical="center"/>
    </xf>
    <xf numFmtId="0" fontId="13" fillId="2" borderId="0" xfId="0" applyFont="1" applyFill="1"/>
    <xf numFmtId="0" fontId="38" fillId="2" borderId="1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4" fontId="38" fillId="0" borderId="1" xfId="0" applyNumberFormat="1" applyFont="1" applyBorder="1" applyAlignment="1">
      <alignment horizontal="center" vertical="center"/>
    </xf>
    <xf numFmtId="44" fontId="47" fillId="0" borderId="1" xfId="4" applyFont="1" applyBorder="1" applyAlignment="1">
      <alignment horizontal="center" vertical="center"/>
    </xf>
    <xf numFmtId="44" fontId="38" fillId="0" borderId="1" xfId="4" applyFont="1" applyBorder="1" applyAlignment="1">
      <alignment horizontal="center" vertical="center"/>
    </xf>
    <xf numFmtId="0" fontId="45" fillId="0" borderId="1" xfId="0" applyNumberFormat="1" applyFont="1" applyBorder="1" applyAlignment="1">
      <alignment horizontal="center" vertical="center"/>
    </xf>
    <xf numFmtId="0" fontId="45" fillId="2" borderId="1" xfId="0" applyFont="1" applyFill="1" applyBorder="1" applyAlignment="1">
      <alignment vertical="center" wrapText="1"/>
    </xf>
    <xf numFmtId="0" fontId="45" fillId="0" borderId="1" xfId="0" applyFont="1" applyBorder="1" applyAlignment="1">
      <alignment horizontal="center" vertical="center"/>
    </xf>
    <xf numFmtId="4" fontId="45" fillId="0" borderId="1" xfId="0" applyNumberFormat="1" applyFont="1" applyBorder="1" applyAlignment="1">
      <alignment horizontal="center" vertical="center"/>
    </xf>
    <xf numFmtId="44" fontId="45" fillId="2" borderId="1" xfId="4" applyFont="1" applyFill="1" applyBorder="1" applyAlignment="1">
      <alignment horizontal="center" vertical="center"/>
    </xf>
    <xf numFmtId="44" fontId="45" fillId="0" borderId="1" xfId="4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2" borderId="1" xfId="0" applyFont="1" applyFill="1" applyBorder="1" applyAlignment="1">
      <alignment vertical="center" wrapText="1"/>
    </xf>
    <xf numFmtId="0" fontId="45" fillId="2" borderId="1" xfId="0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4" fontId="48" fillId="0" borderId="1" xfId="4" applyFont="1" applyBorder="1" applyAlignment="1">
      <alignment horizontal="center" vertical="center"/>
    </xf>
    <xf numFmtId="0" fontId="38" fillId="2" borderId="1" xfId="0" applyFont="1" applyFill="1" applyBorder="1" applyAlignment="1">
      <alignment vertical="center" wrapText="1"/>
    </xf>
    <xf numFmtId="4" fontId="38" fillId="2" borderId="1" xfId="0" applyNumberFormat="1" applyFont="1" applyFill="1" applyBorder="1" applyAlignment="1">
      <alignment horizontal="center" vertical="center"/>
    </xf>
    <xf numFmtId="44" fontId="47" fillId="2" borderId="1" xfId="4" applyFont="1" applyFill="1" applyBorder="1" applyAlignment="1">
      <alignment horizontal="center" vertical="center"/>
    </xf>
    <xf numFmtId="44" fontId="38" fillId="2" borderId="1" xfId="4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44" fontId="47" fillId="2" borderId="1" xfId="13" applyFont="1" applyFill="1" applyBorder="1" applyAlignment="1">
      <alignment horizontal="center" vertical="center"/>
    </xf>
    <xf numFmtId="44" fontId="38" fillId="2" borderId="1" xfId="13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left" vertical="center" wrapText="1"/>
    </xf>
    <xf numFmtId="44" fontId="13" fillId="0" borderId="1" xfId="13" applyFont="1" applyBorder="1" applyAlignment="1">
      <alignment vertical="center"/>
    </xf>
    <xf numFmtId="44" fontId="13" fillId="0" borderId="0" xfId="0" applyNumberFormat="1" applyFont="1"/>
    <xf numFmtId="0" fontId="13" fillId="0" borderId="0" xfId="0" applyFont="1"/>
    <xf numFmtId="0" fontId="45" fillId="0" borderId="1" xfId="0" applyNumberFormat="1" applyFont="1" applyBorder="1" applyAlignment="1">
      <alignment horizontal="center"/>
    </xf>
    <xf numFmtId="0" fontId="45" fillId="0" borderId="1" xfId="0" applyFont="1" applyBorder="1" applyAlignment="1">
      <alignment horizontal="left"/>
    </xf>
    <xf numFmtId="0" fontId="45" fillId="0" borderId="1" xfId="0" applyFont="1" applyBorder="1" applyAlignment="1">
      <alignment horizontal="center"/>
    </xf>
    <xf numFmtId="44" fontId="13" fillId="2" borderId="1" xfId="4" applyFont="1" applyFill="1" applyBorder="1" applyAlignment="1">
      <alignment horizontal="center" vertical="center"/>
    </xf>
    <xf numFmtId="44" fontId="31" fillId="2" borderId="1" xfId="4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48" fillId="0" borderId="0" xfId="0" applyFont="1"/>
    <xf numFmtId="0" fontId="31" fillId="2" borderId="1" xfId="0" applyFont="1" applyFill="1" applyBorder="1" applyAlignment="1">
      <alignment horizontal="center" vertical="center"/>
    </xf>
    <xf numFmtId="44" fontId="47" fillId="2" borderId="1" xfId="4" applyFont="1" applyFill="1" applyBorder="1" applyAlignment="1">
      <alignment vertical="center"/>
    </xf>
    <xf numFmtId="44" fontId="38" fillId="2" borderId="1" xfId="4" applyFont="1" applyFill="1" applyBorder="1"/>
    <xf numFmtId="0" fontId="45" fillId="0" borderId="1" xfId="0" applyFont="1" applyBorder="1" applyAlignment="1">
      <alignment horizontal="left" wrapText="1"/>
    </xf>
    <xf numFmtId="2" fontId="45" fillId="0" borderId="1" xfId="0" applyNumberFormat="1" applyFont="1" applyBorder="1" applyAlignment="1">
      <alignment horizontal="center" vertical="center"/>
    </xf>
    <xf numFmtId="44" fontId="45" fillId="0" borderId="1" xfId="4" applyFont="1" applyBorder="1" applyAlignment="1">
      <alignment vertical="center"/>
    </xf>
    <xf numFmtId="44" fontId="13" fillId="0" borderId="1" xfId="4" applyFont="1" applyBorder="1"/>
    <xf numFmtId="44" fontId="13" fillId="0" borderId="1" xfId="4" applyFont="1" applyBorder="1" applyAlignment="1">
      <alignment vertical="center"/>
    </xf>
    <xf numFmtId="0" fontId="45" fillId="0" borderId="1" xfId="0" applyFont="1" applyBorder="1" applyAlignment="1">
      <alignment horizontal="center" vertical="center" wrapText="1"/>
    </xf>
    <xf numFmtId="2" fontId="45" fillId="2" borderId="1" xfId="0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6" fillId="0" borderId="0" xfId="0" applyFont="1"/>
    <xf numFmtId="0" fontId="38" fillId="2" borderId="25" xfId="0" applyFont="1" applyFill="1" applyBorder="1" applyAlignment="1">
      <alignment horizontal="center" vertical="center"/>
    </xf>
    <xf numFmtId="0" fontId="38" fillId="2" borderId="52" xfId="0" applyFont="1" applyFill="1" applyBorder="1" applyAlignment="1">
      <alignment horizontal="center" vertical="center"/>
    </xf>
    <xf numFmtId="0" fontId="31" fillId="2" borderId="52" xfId="0" applyFont="1" applyFill="1" applyBorder="1" applyAlignment="1">
      <alignment horizontal="center" vertical="center" wrapText="1"/>
    </xf>
    <xf numFmtId="164" fontId="38" fillId="2" borderId="28" xfId="0" applyNumberFormat="1" applyFont="1" applyFill="1" applyBorder="1" applyAlignment="1">
      <alignment horizontal="center" vertical="center"/>
    </xf>
    <xf numFmtId="0" fontId="34" fillId="5" borderId="36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left" wrapText="1"/>
    </xf>
    <xf numFmtId="164" fontId="34" fillId="5" borderId="37" xfId="0" applyNumberFormat="1" applyFont="1" applyFill="1" applyBorder="1" applyAlignment="1"/>
    <xf numFmtId="0" fontId="35" fillId="5" borderId="36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wrapText="1"/>
    </xf>
    <xf numFmtId="44" fontId="34" fillId="5" borderId="37" xfId="4" applyFont="1" applyFill="1" applyBorder="1" applyAlignment="1">
      <alignment horizontal="center" vertical="center"/>
    </xf>
    <xf numFmtId="0" fontId="34" fillId="5" borderId="1" xfId="0" applyFont="1" applyFill="1" applyBorder="1" applyAlignment="1"/>
    <xf numFmtId="0" fontId="37" fillId="2" borderId="6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7" fillId="2" borderId="15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37" fillId="2" borderId="16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7" xfId="0" applyFont="1" applyFill="1" applyBorder="1" applyAlignment="1">
      <alignment horizontal="center" vertical="center" wrapText="1"/>
    </xf>
    <xf numFmtId="164" fontId="38" fillId="0" borderId="15" xfId="0" applyNumberFormat="1" applyFont="1" applyBorder="1" applyAlignment="1">
      <alignment horizontal="center" wrapText="1"/>
    </xf>
    <xf numFmtId="164" fontId="38" fillId="0" borderId="17" xfId="0" applyNumberFormat="1" applyFont="1" applyBorder="1" applyAlignment="1">
      <alignment horizontal="center" wrapText="1"/>
    </xf>
    <xf numFmtId="0" fontId="34" fillId="2" borderId="8" xfId="0" applyFont="1" applyFill="1" applyBorder="1" applyAlignment="1">
      <alignment horizontal="center" wrapText="1"/>
    </xf>
    <xf numFmtId="49" fontId="37" fillId="0" borderId="16" xfId="0" applyNumberFormat="1" applyFont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17" fontId="46" fillId="0" borderId="21" xfId="0" applyNumberFormat="1" applyFont="1" applyBorder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wrapText="1"/>
    </xf>
    <xf numFmtId="164" fontId="9" fillId="0" borderId="17" xfId="0" applyNumberFormat="1" applyFont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2" fillId="0" borderId="21" xfId="21" applyFont="1" applyBorder="1" applyAlignment="1">
      <alignment horizontal="center" vertical="center" wrapText="1"/>
    </xf>
    <xf numFmtId="0" fontId="32" fillId="0" borderId="20" xfId="21" applyFont="1" applyBorder="1" applyAlignment="1">
      <alignment horizontal="center" vertical="center" wrapText="1"/>
    </xf>
    <xf numFmtId="0" fontId="32" fillId="0" borderId="23" xfId="21" applyFont="1" applyBorder="1" applyAlignment="1">
      <alignment horizontal="center" vertical="center" wrapText="1"/>
    </xf>
    <xf numFmtId="0" fontId="2" fillId="0" borderId="6" xfId="21" applyBorder="1" applyAlignment="1">
      <alignment horizontal="center"/>
    </xf>
    <xf numFmtId="0" fontId="2" fillId="0" borderId="7" xfId="21" applyBorder="1" applyAlignment="1">
      <alignment horizontal="center"/>
    </xf>
    <xf numFmtId="0" fontId="2" fillId="0" borderId="15" xfId="21" applyBorder="1" applyAlignment="1">
      <alignment horizontal="center"/>
    </xf>
    <xf numFmtId="0" fontId="2" fillId="0" borderId="8" xfId="21" applyBorder="1" applyAlignment="1">
      <alignment horizontal="center"/>
    </xf>
    <xf numFmtId="0" fontId="2" fillId="0" borderId="0" xfId="21" applyBorder="1" applyAlignment="1">
      <alignment horizontal="center"/>
    </xf>
    <xf numFmtId="0" fontId="2" fillId="0" borderId="16" xfId="21" applyBorder="1" applyAlignment="1">
      <alignment horizontal="center"/>
    </xf>
    <xf numFmtId="0" fontId="2" fillId="0" borderId="9" xfId="21" applyBorder="1" applyAlignment="1">
      <alignment horizontal="center"/>
    </xf>
    <xf numFmtId="0" fontId="2" fillId="0" borderId="10" xfId="21" applyBorder="1" applyAlignment="1">
      <alignment horizontal="center"/>
    </xf>
    <xf numFmtId="0" fontId="2" fillId="0" borderId="17" xfId="21" applyBorder="1" applyAlignment="1">
      <alignment horizontal="center"/>
    </xf>
    <xf numFmtId="1" fontId="2" fillId="0" borderId="2" xfId="21" applyNumberFormat="1" applyFont="1" applyBorder="1" applyAlignment="1">
      <alignment horizontal="left"/>
    </xf>
    <xf numFmtId="1" fontId="2" fillId="0" borderId="3" xfId="21" applyNumberFormat="1" applyFont="1" applyBorder="1" applyAlignment="1">
      <alignment horizontal="left"/>
    </xf>
    <xf numFmtId="0" fontId="2" fillId="0" borderId="3" xfId="21" applyBorder="1" applyAlignment="1">
      <alignment horizontal="left"/>
    </xf>
    <xf numFmtId="0" fontId="2" fillId="0" borderId="4" xfId="21" applyBorder="1" applyAlignment="1">
      <alignment horizontal="left"/>
    </xf>
    <xf numFmtId="0" fontId="2" fillId="0" borderId="9" xfId="21" applyFont="1" applyFill="1" applyBorder="1" applyAlignment="1">
      <alignment horizontal="left"/>
    </xf>
    <xf numFmtId="0" fontId="2" fillId="0" borderId="10" xfId="21" applyFont="1" applyFill="1" applyBorder="1" applyAlignment="1">
      <alignment horizontal="left"/>
    </xf>
    <xf numFmtId="0" fontId="2" fillId="0" borderId="17" xfId="21" applyFont="1" applyFill="1" applyBorder="1" applyAlignment="1">
      <alignment horizontal="left"/>
    </xf>
    <xf numFmtId="0" fontId="2" fillId="0" borderId="21" xfId="21" applyFont="1" applyFill="1" applyBorder="1" applyAlignment="1">
      <alignment horizontal="left" vertical="center" wrapText="1"/>
    </xf>
    <xf numFmtId="0" fontId="2" fillId="0" borderId="20" xfId="21" applyFont="1" applyFill="1" applyBorder="1" applyAlignment="1">
      <alignment horizontal="left" vertical="center" wrapText="1"/>
    </xf>
    <xf numFmtId="0" fontId="2" fillId="0" borderId="23" xfId="21" applyFont="1" applyFill="1" applyBorder="1" applyAlignment="1">
      <alignment horizontal="left" vertical="center" wrapText="1"/>
    </xf>
    <xf numFmtId="0" fontId="29" fillId="6" borderId="21" xfId="21" applyFont="1" applyFill="1" applyBorder="1" applyAlignment="1">
      <alignment horizontal="center" vertical="center" wrapText="1"/>
    </xf>
    <xf numFmtId="0" fontId="29" fillId="6" borderId="20" xfId="21" applyFont="1" applyFill="1" applyBorder="1" applyAlignment="1">
      <alignment horizontal="center" vertical="center" wrapText="1"/>
    </xf>
    <xf numFmtId="0" fontId="29" fillId="6" borderId="23" xfId="21" applyFont="1" applyFill="1" applyBorder="1" applyAlignment="1">
      <alignment horizontal="center" vertical="center" wrapText="1"/>
    </xf>
    <xf numFmtId="0" fontId="25" fillId="0" borderId="21" xfId="21" applyFont="1" applyBorder="1" applyAlignment="1">
      <alignment horizontal="center"/>
    </xf>
    <xf numFmtId="0" fontId="25" fillId="0" borderId="20" xfId="21" applyFont="1" applyBorder="1" applyAlignment="1">
      <alignment horizontal="center"/>
    </xf>
    <xf numFmtId="0" fontId="25" fillId="0" borderId="23" xfId="21" applyFont="1" applyBorder="1" applyAlignment="1">
      <alignment horizontal="center"/>
    </xf>
    <xf numFmtId="1" fontId="24" fillId="0" borderId="9" xfId="21" applyNumberFormat="1" applyFont="1" applyBorder="1" applyAlignment="1">
      <alignment horizontal="center" vertical="center"/>
    </xf>
    <xf numFmtId="1" fontId="24" fillId="0" borderId="10" xfId="21" applyNumberFormat="1" applyFont="1" applyBorder="1" applyAlignment="1">
      <alignment horizontal="center" vertical="center"/>
    </xf>
    <xf numFmtId="1" fontId="24" fillId="0" borderId="17" xfId="21" applyNumberFormat="1" applyFont="1" applyBorder="1" applyAlignment="1">
      <alignment horizontal="center" vertical="center"/>
    </xf>
    <xf numFmtId="1" fontId="24" fillId="6" borderId="26" xfId="21" applyNumberFormat="1" applyFont="1" applyFill="1" applyBorder="1" applyAlignment="1">
      <alignment horizontal="left"/>
    </xf>
    <xf numFmtId="0" fontId="24" fillId="6" borderId="20" xfId="21" applyFont="1" applyFill="1" applyBorder="1" applyAlignment="1">
      <alignment horizontal="left"/>
    </xf>
    <xf numFmtId="0" fontId="2" fillId="6" borderId="20" xfId="21" applyFill="1" applyBorder="1" applyAlignment="1">
      <alignment horizontal="left"/>
    </xf>
    <xf numFmtId="0" fontId="2" fillId="6" borderId="27" xfId="21" applyFill="1" applyBorder="1" applyAlignment="1">
      <alignment horizontal="left"/>
    </xf>
    <xf numFmtId="1" fontId="2" fillId="0" borderId="26" xfId="21" applyNumberFormat="1" applyFont="1" applyBorder="1" applyAlignment="1">
      <alignment horizontal="left"/>
    </xf>
    <xf numFmtId="0" fontId="2" fillId="0" borderId="20" xfId="21" applyFont="1" applyBorder="1" applyAlignment="1">
      <alignment horizontal="left"/>
    </xf>
    <xf numFmtId="0" fontId="2" fillId="0" borderId="20" xfId="21" applyBorder="1" applyAlignment="1">
      <alignment horizontal="left"/>
    </xf>
    <xf numFmtId="0" fontId="2" fillId="0" borderId="27" xfId="21" applyBorder="1" applyAlignment="1">
      <alignment horizontal="left"/>
    </xf>
    <xf numFmtId="1" fontId="2" fillId="0" borderId="32" xfId="21" applyNumberFormat="1" applyFont="1" applyBorder="1" applyAlignment="1">
      <alignment horizontal="left"/>
    </xf>
    <xf numFmtId="1" fontId="2" fillId="0" borderId="33" xfId="21" applyNumberFormat="1" applyFont="1" applyBorder="1" applyAlignment="1">
      <alignment horizontal="left"/>
    </xf>
    <xf numFmtId="0" fontId="2" fillId="0" borderId="33" xfId="21" applyBorder="1" applyAlignment="1">
      <alignment horizontal="left"/>
    </xf>
    <xf numFmtId="0" fontId="2" fillId="0" borderId="34" xfId="21" applyBorder="1" applyAlignment="1">
      <alignment horizontal="left"/>
    </xf>
    <xf numFmtId="0" fontId="2" fillId="0" borderId="3" xfId="21" applyFont="1" applyBorder="1" applyAlignment="1">
      <alignment horizontal="left"/>
    </xf>
    <xf numFmtId="0" fontId="25" fillId="0" borderId="26" xfId="21" applyFont="1" applyBorder="1" applyAlignment="1">
      <alignment horizontal="center" vertical="center"/>
    </xf>
    <xf numFmtId="0" fontId="25" fillId="0" borderId="20" xfId="21" applyFont="1" applyBorder="1" applyAlignment="1">
      <alignment horizontal="center" vertical="center"/>
    </xf>
    <xf numFmtId="0" fontId="25" fillId="0" borderId="27" xfId="21" applyFont="1" applyBorder="1" applyAlignment="1">
      <alignment horizontal="center" vertical="center"/>
    </xf>
    <xf numFmtId="1" fontId="24" fillId="6" borderId="20" xfId="21" applyNumberFormat="1" applyFont="1" applyFill="1" applyBorder="1" applyAlignment="1">
      <alignment horizontal="left"/>
    </xf>
    <xf numFmtId="1" fontId="24" fillId="6" borderId="27" xfId="21" applyNumberFormat="1" applyFont="1" applyFill="1" applyBorder="1" applyAlignment="1">
      <alignment horizontal="left"/>
    </xf>
    <xf numFmtId="0" fontId="2" fillId="0" borderId="33" xfId="21" applyFont="1" applyBorder="1" applyAlignment="1">
      <alignment horizontal="left"/>
    </xf>
    <xf numFmtId="1" fontId="2" fillId="0" borderId="39" xfId="21" applyNumberFormat="1" applyFont="1" applyBorder="1" applyAlignment="1">
      <alignment horizontal="left"/>
    </xf>
    <xf numFmtId="0" fontId="2" fillId="0" borderId="40" xfId="21" applyFont="1" applyBorder="1" applyAlignment="1">
      <alignment horizontal="left"/>
    </xf>
    <xf numFmtId="0" fontId="2" fillId="0" borderId="40" xfId="21" applyBorder="1" applyAlignment="1">
      <alignment horizontal="left"/>
    </xf>
    <xf numFmtId="0" fontId="2" fillId="0" borderId="41" xfId="21" applyBorder="1" applyAlignment="1">
      <alignment horizontal="left"/>
    </xf>
    <xf numFmtId="0" fontId="22" fillId="0" borderId="6" xfId="21" applyFont="1" applyFill="1" applyBorder="1" applyAlignment="1">
      <alignment horizontal="center" vertical="center"/>
    </xf>
    <xf numFmtId="0" fontId="22" fillId="0" borderId="7" xfId="21" applyFont="1" applyFill="1" applyBorder="1" applyAlignment="1">
      <alignment horizontal="center" vertical="center"/>
    </xf>
    <xf numFmtId="0" fontId="22" fillId="0" borderId="15" xfId="21" applyFont="1" applyFill="1" applyBorder="1" applyAlignment="1">
      <alignment horizontal="center" vertical="center"/>
    </xf>
    <xf numFmtId="0" fontId="22" fillId="0" borderId="8" xfId="21" applyFont="1" applyFill="1" applyBorder="1" applyAlignment="1">
      <alignment horizontal="center" vertical="center"/>
    </xf>
    <xf numFmtId="0" fontId="22" fillId="0" borderId="0" xfId="21" applyFont="1" applyFill="1" applyBorder="1" applyAlignment="1">
      <alignment horizontal="center" vertical="center"/>
    </xf>
    <xf numFmtId="0" fontId="22" fillId="0" borderId="16" xfId="21" applyFont="1" applyFill="1" applyBorder="1" applyAlignment="1">
      <alignment horizontal="center" vertical="center"/>
    </xf>
    <xf numFmtId="0" fontId="22" fillId="0" borderId="9" xfId="21" applyFont="1" applyFill="1" applyBorder="1" applyAlignment="1">
      <alignment horizontal="center" vertical="center"/>
    </xf>
    <xf numFmtId="0" fontId="22" fillId="0" borderId="10" xfId="21" applyFont="1" applyFill="1" applyBorder="1" applyAlignment="1">
      <alignment horizontal="center" vertical="center"/>
    </xf>
    <xf numFmtId="0" fontId="22" fillId="0" borderId="17" xfId="21" applyFont="1" applyFill="1" applyBorder="1" applyAlignment="1">
      <alignment horizontal="center" vertical="center"/>
    </xf>
    <xf numFmtId="0" fontId="23" fillId="0" borderId="18" xfId="21" applyFont="1" applyBorder="1" applyAlignment="1">
      <alignment horizontal="left"/>
    </xf>
    <xf numFmtId="0" fontId="24" fillId="0" borderId="18" xfId="21" applyNumberFormat="1" applyFont="1" applyFill="1" applyBorder="1" applyAlignment="1">
      <alignment horizontal="center" vertical="center"/>
    </xf>
    <xf numFmtId="10" fontId="24" fillId="0" borderId="18" xfId="21" applyNumberFormat="1" applyFont="1" applyFill="1" applyBorder="1" applyAlignment="1">
      <alignment horizontal="center" vertical="center" wrapText="1"/>
    </xf>
    <xf numFmtId="10" fontId="24" fillId="0" borderId="18" xfId="21" applyNumberFormat="1" applyFont="1" applyFill="1" applyBorder="1" applyAlignment="1">
      <alignment horizontal="center" vertical="center"/>
    </xf>
  </cellXfs>
  <cellStyles count="26">
    <cellStyle name="Currency 2 2 3" xfId="2"/>
    <cellStyle name="Currency 2 2 3 2" xfId="5"/>
    <cellStyle name="Currency 2 2 3 3" xfId="18"/>
    <cellStyle name="Moeda" xfId="4" builtinId="4"/>
    <cellStyle name="Moeda 2" xfId="6"/>
    <cellStyle name="Moeda 2 2" xfId="23"/>
    <cellStyle name="Moeda 2 3" xfId="14"/>
    <cellStyle name="Moeda 3" xfId="7"/>
    <cellStyle name="Moeda 3 2" xfId="19"/>
    <cellStyle name="Moeda 4" xfId="24"/>
    <cellStyle name="Moeda 5" xfId="13"/>
    <cellStyle name="Normal" xfId="0" builtinId="0"/>
    <cellStyle name="Normal 10" xfId="3"/>
    <cellStyle name="Normal 2" xfId="11"/>
    <cellStyle name="Normal 2 2 2" xfId="21"/>
    <cellStyle name="Normal 3 2" xfId="20"/>
    <cellStyle name="Normal 32 2 2" xfId="1"/>
    <cellStyle name="Porcentagem 2 2" xfId="22"/>
    <cellStyle name="Porcentagem 3" xfId="10"/>
    <cellStyle name="Separador de milhares 3 2" xfId="8"/>
    <cellStyle name="Separador de milhares 3 2 2" xfId="15"/>
    <cellStyle name="Separador de milhares 6" xfId="9"/>
    <cellStyle name="Separador de milhares 6 2" xfId="16"/>
    <cellStyle name="Vírgula 2" xfId="12"/>
    <cellStyle name="Vírgula 2 2" xfId="17"/>
    <cellStyle name="Vírgula 3" xfId="25"/>
  </cellStyles>
  <dxfs count="0"/>
  <tableStyles count="0" defaultTableStyle="TableStyleMedium2" defaultPivotStyle="PivotStyleLight16"/>
  <colors>
    <mruColors>
      <color rgb="FF79F07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388409</xdr:colOff>
      <xdr:row>2</xdr:row>
      <xdr:rowOff>158751</xdr:rowOff>
    </xdr:from>
    <xdr:to>
      <xdr:col>2</xdr:col>
      <xdr:colOff>1321670</xdr:colOff>
      <xdr:row>4</xdr:row>
      <xdr:rowOff>136002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2" y="539751"/>
          <a:ext cx="1493045" cy="464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388409</xdr:colOff>
      <xdr:row>2</xdr:row>
      <xdr:rowOff>158751</xdr:rowOff>
    </xdr:from>
    <xdr:to>
      <xdr:col>3</xdr:col>
      <xdr:colOff>1321670</xdr:colOff>
      <xdr:row>4</xdr:row>
      <xdr:rowOff>136002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259" y="625476"/>
          <a:ext cx="1409511" cy="4630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63498</xdr:rowOff>
    </xdr:from>
    <xdr:to>
      <xdr:col>20</xdr:col>
      <xdr:colOff>150114</xdr:colOff>
      <xdr:row>36</xdr:row>
      <xdr:rowOff>5062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63498"/>
          <a:ext cx="11681714" cy="6570964"/>
        </a:xfrm>
        <a:prstGeom prst="rect">
          <a:avLst/>
        </a:prstGeom>
      </xdr:spPr>
    </xdr:pic>
    <xdr:clientData/>
  </xdr:twoCellAnchor>
  <xdr:twoCellAnchor editAs="oneCell">
    <xdr:from>
      <xdr:col>1</xdr:col>
      <xdr:colOff>11288</xdr:colOff>
      <xdr:row>39</xdr:row>
      <xdr:rowOff>107950</xdr:rowOff>
    </xdr:from>
    <xdr:to>
      <xdr:col>20</xdr:col>
      <xdr:colOff>223491</xdr:colOff>
      <xdr:row>73</xdr:row>
      <xdr:rowOff>132064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5264"/>
        <a:stretch/>
      </xdr:blipFill>
      <xdr:spPr>
        <a:xfrm>
          <a:off x="620888" y="7289800"/>
          <a:ext cx="11794603" cy="628521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79</xdr:row>
      <xdr:rowOff>63500</xdr:rowOff>
    </xdr:from>
    <xdr:to>
      <xdr:col>14</xdr:col>
      <xdr:colOff>118364</xdr:colOff>
      <xdr:row>111</xdr:row>
      <xdr:rowOff>113013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8284" t="5132"/>
        <a:stretch/>
      </xdr:blipFill>
      <xdr:spPr>
        <a:xfrm>
          <a:off x="666750" y="14611350"/>
          <a:ext cx="7986014" cy="5942313"/>
        </a:xfrm>
        <a:prstGeom prst="rect">
          <a:avLst/>
        </a:prstGeom>
      </xdr:spPr>
    </xdr:pic>
    <xdr:clientData/>
  </xdr:twoCellAnchor>
  <xdr:twoCellAnchor>
    <xdr:from>
      <xdr:col>2</xdr:col>
      <xdr:colOff>513292</xdr:colOff>
      <xdr:row>89</xdr:row>
      <xdr:rowOff>0</xdr:rowOff>
    </xdr:from>
    <xdr:to>
      <xdr:col>11</xdr:col>
      <xdr:colOff>465667</xdr:colOff>
      <xdr:row>89</xdr:row>
      <xdr:rowOff>158750</xdr:rowOff>
    </xdr:to>
    <xdr:sp macro="" textlink="">
      <xdr:nvSpPr>
        <xdr:cNvPr id="6" name="Retângulo 5"/>
        <xdr:cNvSpPr/>
      </xdr:nvSpPr>
      <xdr:spPr>
        <a:xfrm>
          <a:off x="1730375" y="16483542"/>
          <a:ext cx="5429250" cy="1587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481541</xdr:colOff>
      <xdr:row>113</xdr:row>
      <xdr:rowOff>132290</xdr:rowOff>
    </xdr:from>
    <xdr:to>
      <xdr:col>11</xdr:col>
      <xdr:colOff>365125</xdr:colOff>
      <xdr:row>138</xdr:row>
      <xdr:rowOff>25171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5001" r="22291"/>
        <a:stretch/>
      </xdr:blipFill>
      <xdr:spPr>
        <a:xfrm>
          <a:off x="481541" y="21060832"/>
          <a:ext cx="6577542" cy="4523089"/>
        </a:xfrm>
        <a:prstGeom prst="rect">
          <a:avLst/>
        </a:prstGeom>
      </xdr:spPr>
    </xdr:pic>
    <xdr:clientData/>
  </xdr:twoCellAnchor>
  <xdr:twoCellAnchor>
    <xdr:from>
      <xdr:col>2</xdr:col>
      <xdr:colOff>52917</xdr:colOff>
      <xdr:row>125</xdr:row>
      <xdr:rowOff>132291</xdr:rowOff>
    </xdr:from>
    <xdr:to>
      <xdr:col>10</xdr:col>
      <xdr:colOff>37041</xdr:colOff>
      <xdr:row>125</xdr:row>
      <xdr:rowOff>137583</xdr:rowOff>
    </xdr:to>
    <xdr:cxnSp macro="">
      <xdr:nvCxnSpPr>
        <xdr:cNvPr id="9" name="Conector reto 8"/>
        <xdr:cNvCxnSpPr/>
      </xdr:nvCxnSpPr>
      <xdr:spPr>
        <a:xfrm>
          <a:off x="1270000" y="23283333"/>
          <a:ext cx="4852458" cy="529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368651</xdr:colOff>
      <xdr:row>139</xdr:row>
      <xdr:rowOff>5292</xdr:rowOff>
    </xdr:from>
    <xdr:to>
      <xdr:col>12</xdr:col>
      <xdr:colOff>373421</xdr:colOff>
      <xdr:row>161</xdr:row>
      <xdr:rowOff>41047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8651" y="25749250"/>
          <a:ext cx="7307270" cy="41103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23054</xdr:colOff>
      <xdr:row>11</xdr:row>
      <xdr:rowOff>15022</xdr:rowOff>
    </xdr:from>
    <xdr:to>
      <xdr:col>7</xdr:col>
      <xdr:colOff>1004888</xdr:colOff>
      <xdr:row>11</xdr:row>
      <xdr:rowOff>157164</xdr:rowOff>
    </xdr:to>
    <xdr:sp macro="" textlink="">
      <xdr:nvSpPr>
        <xdr:cNvPr id="2" name="Seta para a esquerda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8605079" y="2320072"/>
          <a:ext cx="981834" cy="142142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21773</xdr:colOff>
      <xdr:row>12</xdr:row>
      <xdr:rowOff>20516</xdr:rowOff>
    </xdr:from>
    <xdr:to>
      <xdr:col>7</xdr:col>
      <xdr:colOff>1003607</xdr:colOff>
      <xdr:row>12</xdr:row>
      <xdr:rowOff>159727</xdr:rowOff>
    </xdr:to>
    <xdr:sp macro="" textlink="">
      <xdr:nvSpPr>
        <xdr:cNvPr id="3" name="Seta para a esquerda 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8603798" y="249701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22505</xdr:colOff>
      <xdr:row>13</xdr:row>
      <xdr:rowOff>31324</xdr:rowOff>
    </xdr:from>
    <xdr:to>
      <xdr:col>7</xdr:col>
      <xdr:colOff>1004339</xdr:colOff>
      <xdr:row>14</xdr:row>
      <xdr:rowOff>1202</xdr:rowOff>
    </xdr:to>
    <xdr:sp macro="" textlink="">
      <xdr:nvSpPr>
        <xdr:cNvPr id="4" name="Seta para a esquerda 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8604530" y="2679274"/>
          <a:ext cx="981834" cy="141328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twoCellAnchor>
    <xdr:from>
      <xdr:col>7</xdr:col>
      <xdr:colOff>23788</xdr:colOff>
      <xdr:row>16</xdr:row>
      <xdr:rowOff>10259</xdr:rowOff>
    </xdr:from>
    <xdr:to>
      <xdr:col>7</xdr:col>
      <xdr:colOff>1005622</xdr:colOff>
      <xdr:row>16</xdr:row>
      <xdr:rowOff>149470</xdr:rowOff>
    </xdr:to>
    <xdr:sp macro="" textlink="">
      <xdr:nvSpPr>
        <xdr:cNvPr id="5" name="Seta para a esquerda 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8605813" y="3172559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21165</xdr:colOff>
      <xdr:row>14</xdr:row>
      <xdr:rowOff>21166</xdr:rowOff>
    </xdr:from>
    <xdr:to>
      <xdr:col>7</xdr:col>
      <xdr:colOff>1002999</xdr:colOff>
      <xdr:row>14</xdr:row>
      <xdr:rowOff>160377</xdr:rowOff>
    </xdr:to>
    <xdr:sp macro="" textlink="">
      <xdr:nvSpPr>
        <xdr:cNvPr id="6" name="Seta para a esquerda 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8603190" y="284056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oneCellAnchor>
    <xdr:from>
      <xdr:col>2</xdr:col>
      <xdr:colOff>1394809</xdr:colOff>
      <xdr:row>29</xdr:row>
      <xdr:rowOff>15875</xdr:rowOff>
    </xdr:from>
    <xdr:ext cx="3345468" cy="4412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14:m>
                <m:oMath xmlns:m="http://schemas.openxmlformats.org/officeDocument/2006/math">
                  <m:r>
                    <a:rPr lang="pt-BR" sz="1800" i="0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t-B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AC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R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S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G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DF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L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(1−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I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  <m:r>
                    <a:rPr lang="pt-BR" sz="1800" b="0" i="0">
                      <a:latin typeface="Cambria Math" panose="02040503050406030204" pitchFamily="18" charset="0"/>
                    </a:rPr>
                    <m:t>−1</m:t>
                  </m:r>
                </m:oMath>
              </a14:m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:r>
                <a:rPr lang="pt-BR" sz="1800" i="0">
                  <a:latin typeface="Cambria Math" panose="02040503050406030204" pitchFamily="18" charset="0"/>
                </a:rPr>
                <a:t>=(</a:t>
              </a:r>
              <a:r>
                <a:rPr lang="pt-BR" sz="1800" b="0" i="0">
                  <a:latin typeface="Cambria Math" panose="02040503050406030204" pitchFamily="18" charset="0"/>
                </a:rPr>
                <a:t>(1+AC+R+S+G)(1+DF)(1+L))/((1−I))−1</a:t>
              </a:r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3.20.50%20-%20EQUIPE%20DE%20INFRAESTRUTURA\005%20N&#218;CLEO%20AVAN&#199;ADO%20DE%20CAPACITA&#199;&#195;O\NOVA%20CANA&#195;%20DO%20NORTE\004%20-%20PLANILHAS\PLanilha%20Proj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MEMORIAL CALC."/>
      <sheetName val="CRONOGRAMA"/>
      <sheetName val="BDI"/>
      <sheetName val="SOLUM"/>
    </sheetNames>
    <sheetDataSet>
      <sheetData sheetId="0">
        <row r="6">
          <cell r="B6" t="str">
            <v>OBRA DO SENAR NOVA CANAÃ DO NORTE</v>
          </cell>
          <cell r="C6" t="str">
            <v>REF.:</v>
          </cell>
          <cell r="D6" t="str">
            <v>SINAPI-MT
DES_ABRIL/2021</v>
          </cell>
        </row>
        <row r="7">
          <cell r="B7" t="str">
            <v>AV. SÃO PAULO ESQ. COM AV. GOVERNADOR DANTE DE OLIVEIRA, N06, Q62</v>
          </cell>
        </row>
        <row r="8">
          <cell r="B8" t="str">
            <v>NOVA CANAÃ DO NORTE - MT</v>
          </cell>
          <cell r="C8" t="str">
            <v>BDI:</v>
          </cell>
          <cell r="D8">
            <v>0.28347674918197008</v>
          </cell>
        </row>
        <row r="9">
          <cell r="B9" t="str">
            <v>OBRA NOVA</v>
          </cell>
        </row>
        <row r="30">
          <cell r="C30">
            <v>637324.04000000015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D23"/>
  <sheetViews>
    <sheetView tabSelected="1" zoomScale="80" zoomScaleNormal="80" workbookViewId="0">
      <selection activeCell="G27" sqref="G27"/>
    </sheetView>
  </sheetViews>
  <sheetFormatPr defaultColWidth="9.140625" defaultRowHeight="14.25" x14ac:dyDescent="0.2"/>
  <cols>
    <col min="1" max="1" width="4.85546875" style="190" customWidth="1"/>
    <col min="2" max="2" width="9.85546875" style="191" customWidth="1"/>
    <col min="3" max="3" width="0.140625" style="191" hidden="1" customWidth="1"/>
    <col min="4" max="4" width="83.42578125" style="192" bestFit="1" customWidth="1"/>
    <col min="5" max="5" width="22.5703125" style="195" customWidth="1"/>
    <col min="6" max="6" width="1.140625" style="190" customWidth="1"/>
    <col min="7" max="7" width="21.85546875" style="191" customWidth="1"/>
    <col min="8" max="16384" width="9.140625" style="191"/>
  </cols>
  <sheetData>
    <row r="1" spans="1:30" ht="24" customHeight="1" thickBot="1" x14ac:dyDescent="0.25"/>
    <row r="2" spans="1:30" ht="24" customHeight="1" x14ac:dyDescent="0.2">
      <c r="B2" s="441" t="s">
        <v>106</v>
      </c>
      <c r="C2" s="442"/>
      <c r="D2" s="443"/>
      <c r="E2" s="450" t="s">
        <v>18</v>
      </c>
      <c r="F2" s="452"/>
    </row>
    <row r="3" spans="1:30" ht="24" customHeight="1" thickBot="1" x14ac:dyDescent="0.25">
      <c r="B3" s="444"/>
      <c r="C3" s="445"/>
      <c r="D3" s="446"/>
      <c r="E3" s="451"/>
      <c r="F3" s="452"/>
    </row>
    <row r="4" spans="1:30" ht="24" customHeight="1" x14ac:dyDescent="0.2">
      <c r="B4" s="444"/>
      <c r="C4" s="445"/>
      <c r="D4" s="446"/>
      <c r="E4" s="453" t="s">
        <v>199</v>
      </c>
      <c r="F4" s="352">
        <v>0.24510000000000001</v>
      </c>
    </row>
    <row r="5" spans="1:30" ht="24" customHeight="1" thickBot="1" x14ac:dyDescent="0.25">
      <c r="B5" s="447"/>
      <c r="C5" s="448"/>
      <c r="D5" s="449"/>
      <c r="E5" s="454"/>
      <c r="F5" s="353"/>
    </row>
    <row r="6" spans="1:30" ht="24" customHeight="1" thickBot="1" x14ac:dyDescent="0.25">
      <c r="B6" s="190"/>
      <c r="C6" s="190"/>
      <c r="D6" s="354"/>
      <c r="E6" s="355"/>
    </row>
    <row r="7" spans="1:30" ht="24" customHeight="1" x14ac:dyDescent="0.2">
      <c r="B7" s="429" t="s">
        <v>2</v>
      </c>
      <c r="C7" s="430" t="s">
        <v>8</v>
      </c>
      <c r="D7" s="431" t="s">
        <v>3</v>
      </c>
      <c r="E7" s="432" t="s">
        <v>202</v>
      </c>
      <c r="F7" s="356"/>
    </row>
    <row r="8" spans="1:30" ht="24" customHeight="1" x14ac:dyDescent="0.2">
      <c r="B8" s="433">
        <v>1</v>
      </c>
      <c r="C8" s="434"/>
      <c r="D8" s="435" t="s">
        <v>51</v>
      </c>
      <c r="E8" s="436">
        <f>'P. Referência'!I11</f>
        <v>5687.03</v>
      </c>
    </row>
    <row r="9" spans="1:30" ht="24" customHeight="1" x14ac:dyDescent="0.2">
      <c r="A9" s="191"/>
      <c r="B9" s="437">
        <v>2</v>
      </c>
      <c r="C9" s="357"/>
      <c r="D9" s="438" t="s">
        <v>104</v>
      </c>
      <c r="E9" s="439">
        <f>'P. Referência'!I17</f>
        <v>1834.25</v>
      </c>
      <c r="F9" s="191"/>
    </row>
    <row r="10" spans="1:30" ht="24" customHeight="1" x14ac:dyDescent="0.2">
      <c r="B10" s="433">
        <v>3</v>
      </c>
      <c r="C10" s="434"/>
      <c r="D10" s="435" t="s">
        <v>80</v>
      </c>
      <c r="E10" s="436">
        <f>'P. Referência'!I22</f>
        <v>1747.7</v>
      </c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</row>
    <row r="11" spans="1:30" ht="24" customHeight="1" x14ac:dyDescent="0.2">
      <c r="B11" s="433">
        <v>4</v>
      </c>
      <c r="C11" s="434"/>
      <c r="D11" s="435" t="s">
        <v>9</v>
      </c>
      <c r="E11" s="436">
        <f>'P. Referência'!I36</f>
        <v>77625.52</v>
      </c>
    </row>
    <row r="12" spans="1:30" ht="24" customHeight="1" x14ac:dyDescent="0.2">
      <c r="B12" s="433">
        <v>5</v>
      </c>
      <c r="C12" s="434"/>
      <c r="D12" s="440" t="s">
        <v>107</v>
      </c>
      <c r="E12" s="436">
        <f>'P. Referência'!I45</f>
        <v>2748.84</v>
      </c>
    </row>
    <row r="13" spans="1:30" ht="24" customHeight="1" x14ac:dyDescent="0.2">
      <c r="B13" s="433">
        <v>6</v>
      </c>
      <c r="C13" s="434"/>
      <c r="D13" s="440" t="s">
        <v>121</v>
      </c>
      <c r="E13" s="436">
        <f>'P. Referência'!I57</f>
        <v>46070.32</v>
      </c>
    </row>
    <row r="14" spans="1:30" ht="24" customHeight="1" x14ac:dyDescent="0.2">
      <c r="B14" s="433">
        <v>7</v>
      </c>
      <c r="C14" s="434"/>
      <c r="D14" s="440" t="s">
        <v>135</v>
      </c>
      <c r="E14" s="436">
        <f>'P. Referência'!I63</f>
        <v>4406.34</v>
      </c>
    </row>
    <row r="15" spans="1:30" s="251" customFormat="1" ht="12.75" hidden="1" x14ac:dyDescent="0.2">
      <c r="B15" s="275" t="s">
        <v>153</v>
      </c>
      <c r="C15" s="220" t="s">
        <v>134</v>
      </c>
      <c r="D15" s="298" t="s">
        <v>129</v>
      </c>
      <c r="E15" s="358" t="e">
        <f>#REF!*#REF!</f>
        <v>#REF!</v>
      </c>
    </row>
    <row r="16" spans="1:30" s="251" customFormat="1" ht="25.5" hidden="1" x14ac:dyDescent="0.2">
      <c r="B16" s="275" t="s">
        <v>154</v>
      </c>
      <c r="C16" s="220">
        <v>98546</v>
      </c>
      <c r="D16" s="298" t="s">
        <v>161</v>
      </c>
      <c r="E16" s="358" t="e">
        <f>#REF!*#REF!</f>
        <v>#REF!</v>
      </c>
    </row>
    <row r="17" spans="2:5" s="251" customFormat="1" ht="12.75" hidden="1" x14ac:dyDescent="0.2">
      <c r="B17" s="275" t="s">
        <v>162</v>
      </c>
      <c r="C17" s="220" t="s">
        <v>128</v>
      </c>
      <c r="D17" s="298" t="s">
        <v>136</v>
      </c>
      <c r="E17" s="358" t="e">
        <f>#REF!*#REF!</f>
        <v>#REF!</v>
      </c>
    </row>
    <row r="18" spans="2:5" ht="15" hidden="1" x14ac:dyDescent="0.2">
      <c r="B18" s="229"/>
      <c r="C18" s="359"/>
      <c r="D18" s="360"/>
      <c r="E18" s="361" t="e">
        <f>SUM(E17,E15)</f>
        <v>#REF!</v>
      </c>
    </row>
    <row r="19" spans="2:5" hidden="1" x14ac:dyDescent="0.2">
      <c r="B19" s="362"/>
      <c r="C19" s="363"/>
      <c r="D19" s="364"/>
      <c r="E19" s="365"/>
    </row>
    <row r="20" spans="2:5" ht="30.6" customHeight="1" thickBot="1" x14ac:dyDescent="0.25">
      <c r="B20" s="366"/>
      <c r="C20" s="367"/>
      <c r="D20" s="368" t="s">
        <v>201</v>
      </c>
      <c r="E20" s="369">
        <f>SUM(E8:E14)</f>
        <v>140120</v>
      </c>
    </row>
    <row r="23" spans="2:5" x14ac:dyDescent="0.2">
      <c r="E23" s="350"/>
    </row>
  </sheetData>
  <mergeCells count="4">
    <mergeCell ref="B2:D5"/>
    <mergeCell ref="E2:E3"/>
    <mergeCell ref="F2:F3"/>
    <mergeCell ref="E4:E5"/>
  </mergeCells>
  <printOptions horizontalCentered="1" verticalCentered="1"/>
  <pageMargins left="0.25" right="0.25" top="0.75" bottom="0.75" header="0.3" footer="0.3"/>
  <pageSetup paperSize="9" scale="78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zoomScale="80" zoomScaleNormal="80" workbookViewId="0">
      <selection activeCell="D21" sqref="D21"/>
    </sheetView>
  </sheetViews>
  <sheetFormatPr defaultColWidth="9.140625" defaultRowHeight="14.25" x14ac:dyDescent="0.2"/>
  <cols>
    <col min="1" max="1" width="4.85546875" style="190" customWidth="1"/>
    <col min="2" max="2" width="7.140625" style="191" customWidth="1"/>
    <col min="3" max="3" width="20.140625" style="191" bestFit="1" customWidth="1"/>
    <col min="4" max="4" width="88.85546875" style="192" customWidth="1"/>
    <col min="5" max="5" width="5.7109375" style="191" customWidth="1"/>
    <col min="6" max="6" width="9.140625" style="191" customWidth="1"/>
    <col min="7" max="7" width="15.28515625" style="193" customWidth="1"/>
    <col min="8" max="8" width="17.7109375" style="194" bestFit="1" customWidth="1"/>
    <col min="9" max="9" width="27.28515625" style="195" customWidth="1"/>
    <col min="10" max="16384" width="9.140625" style="196"/>
  </cols>
  <sheetData>
    <row r="1" spans="1:9" ht="15" thickBot="1" x14ac:dyDescent="0.25"/>
    <row r="2" spans="1:9" ht="20.25" x14ac:dyDescent="0.2">
      <c r="B2" s="441" t="s">
        <v>106</v>
      </c>
      <c r="C2" s="442"/>
      <c r="D2" s="442"/>
      <c r="E2" s="442"/>
      <c r="F2" s="442"/>
      <c r="G2" s="442"/>
      <c r="H2" s="197"/>
      <c r="I2" s="450" t="s">
        <v>18</v>
      </c>
    </row>
    <row r="3" spans="1:9" ht="23.25" customHeight="1" thickBot="1" x14ac:dyDescent="0.25">
      <c r="B3" s="444"/>
      <c r="C3" s="445"/>
      <c r="D3" s="445"/>
      <c r="E3" s="445"/>
      <c r="F3" s="445"/>
      <c r="G3" s="445"/>
      <c r="H3" s="198"/>
      <c r="I3" s="451"/>
    </row>
    <row r="4" spans="1:9" ht="15" customHeight="1" x14ac:dyDescent="0.2">
      <c r="B4" s="444"/>
      <c r="C4" s="445"/>
      <c r="D4" s="445"/>
      <c r="E4" s="445"/>
      <c r="F4" s="445"/>
      <c r="G4" s="445"/>
      <c r="H4" s="198"/>
      <c r="I4" s="453" t="s">
        <v>203</v>
      </c>
    </row>
    <row r="5" spans="1:9" ht="33" customHeight="1" thickBot="1" x14ac:dyDescent="0.25">
      <c r="B5" s="447"/>
      <c r="C5" s="448"/>
      <c r="D5" s="448"/>
      <c r="E5" s="448"/>
      <c r="F5" s="448"/>
      <c r="G5" s="448"/>
      <c r="H5" s="199"/>
      <c r="I5" s="454"/>
    </row>
    <row r="6" spans="1:9" ht="6" customHeight="1" thickBot="1" x14ac:dyDescent="0.25">
      <c r="B6" s="200"/>
      <c r="C6" s="201"/>
      <c r="D6" s="202"/>
      <c r="E6" s="203"/>
      <c r="F6" s="203"/>
      <c r="G6" s="204"/>
      <c r="H6" s="205"/>
      <c r="I6" s="206"/>
    </row>
    <row r="7" spans="1:9" ht="54" customHeight="1" thickBot="1" x14ac:dyDescent="0.25">
      <c r="B7" s="207" t="s">
        <v>2</v>
      </c>
      <c r="C7" s="207" t="s">
        <v>8</v>
      </c>
      <c r="D7" s="208" t="s">
        <v>3</v>
      </c>
      <c r="E7" s="209" t="s">
        <v>4</v>
      </c>
      <c r="F7" s="209" t="s">
        <v>56</v>
      </c>
      <c r="G7" s="210" t="s">
        <v>61</v>
      </c>
      <c r="H7" s="210" t="s">
        <v>241</v>
      </c>
      <c r="I7" s="211" t="s">
        <v>5</v>
      </c>
    </row>
    <row r="8" spans="1:9" ht="15" x14ac:dyDescent="0.25">
      <c r="B8" s="212">
        <v>1</v>
      </c>
      <c r="C8" s="213"/>
      <c r="D8" s="214" t="s">
        <v>51</v>
      </c>
      <c r="E8" s="215"/>
      <c r="F8" s="215"/>
      <c r="G8" s="216"/>
      <c r="H8" s="217"/>
      <c r="I8" s="218"/>
    </row>
    <row r="9" spans="1:9" x14ac:dyDescent="0.2">
      <c r="B9" s="219" t="s">
        <v>63</v>
      </c>
      <c r="C9" s="220">
        <v>90777</v>
      </c>
      <c r="D9" s="221" t="s">
        <v>52</v>
      </c>
      <c r="E9" s="222" t="s">
        <v>30</v>
      </c>
      <c r="F9" s="223">
        <v>24</v>
      </c>
      <c r="G9" s="224">
        <v>81.02</v>
      </c>
      <c r="H9" s="225">
        <f>G9*1.2835</f>
        <v>103.98917</v>
      </c>
      <c r="I9" s="226">
        <f>TRUNC(H9*F9,2)</f>
        <v>2495.7399999999998</v>
      </c>
    </row>
    <row r="10" spans="1:9" x14ac:dyDescent="0.2">
      <c r="B10" s="219" t="s">
        <v>64</v>
      </c>
      <c r="C10" s="227" t="s">
        <v>58</v>
      </c>
      <c r="D10" s="228" t="s">
        <v>57</v>
      </c>
      <c r="E10" s="222" t="s">
        <v>30</v>
      </c>
      <c r="F10" s="223">
        <v>120</v>
      </c>
      <c r="G10" s="224">
        <v>20.72</v>
      </c>
      <c r="H10" s="225">
        <f>G10*1.2835</f>
        <v>26.59412</v>
      </c>
      <c r="I10" s="226">
        <f>TRUNC(H10*F10,2)</f>
        <v>3191.29</v>
      </c>
    </row>
    <row r="11" spans="1:9" ht="15" x14ac:dyDescent="0.2">
      <c r="B11" s="229"/>
      <c r="C11" s="230"/>
      <c r="D11" s="231"/>
      <c r="E11" s="232"/>
      <c r="F11" s="233"/>
      <c r="G11" s="234" t="s">
        <v>1</v>
      </c>
      <c r="H11" s="235"/>
      <c r="I11" s="236">
        <f>TRUNC(SUM(I9:I10),2)</f>
        <v>5687.03</v>
      </c>
    </row>
    <row r="12" spans="1:9" ht="15" x14ac:dyDescent="0.2">
      <c r="B12" s="219"/>
      <c r="C12" s="237"/>
      <c r="D12" s="238"/>
      <c r="E12" s="239"/>
      <c r="F12" s="240"/>
      <c r="G12" s="241"/>
      <c r="H12" s="242"/>
      <c r="I12" s="243"/>
    </row>
    <row r="13" spans="1:9" ht="15" x14ac:dyDescent="0.25">
      <c r="A13" s="191"/>
      <c r="B13" s="244">
        <v>2</v>
      </c>
      <c r="C13" s="245"/>
      <c r="D13" s="246" t="s">
        <v>104</v>
      </c>
      <c r="E13" s="247"/>
      <c r="F13" s="245"/>
      <c r="G13" s="248"/>
      <c r="H13" s="249"/>
      <c r="I13" s="250"/>
    </row>
    <row r="14" spans="1:9" s="257" customFormat="1" ht="17.25" customHeight="1" x14ac:dyDescent="0.2">
      <c r="A14" s="251"/>
      <c r="B14" s="252" t="s">
        <v>65</v>
      </c>
      <c r="C14" s="253" t="s">
        <v>78</v>
      </c>
      <c r="D14" s="254" t="s">
        <v>91</v>
      </c>
      <c r="E14" s="255" t="s">
        <v>31</v>
      </c>
      <c r="F14" s="256">
        <v>1</v>
      </c>
      <c r="G14" s="224">
        <f>Composições!G37</f>
        <v>569.14499999999998</v>
      </c>
      <c r="H14" s="224">
        <f>G14*1.2835</f>
        <v>730.49760750000007</v>
      </c>
      <c r="I14" s="226">
        <f>TRUNC(H14*F14,2)</f>
        <v>730.49</v>
      </c>
    </row>
    <row r="15" spans="1:9" s="257" customFormat="1" ht="25.5" x14ac:dyDescent="0.2">
      <c r="A15" s="251"/>
      <c r="B15" s="252" t="s">
        <v>88</v>
      </c>
      <c r="C15" s="220" t="s">
        <v>126</v>
      </c>
      <c r="D15" s="254" t="s">
        <v>92</v>
      </c>
      <c r="E15" s="220" t="s">
        <v>0</v>
      </c>
      <c r="F15" s="258">
        <v>1</v>
      </c>
      <c r="G15" s="224">
        <f>Composições!G42</f>
        <v>299.96400000000006</v>
      </c>
      <c r="H15" s="224">
        <f t="shared" ref="H15:H16" si="0">G15*1.2835</f>
        <v>385.00379400000008</v>
      </c>
      <c r="I15" s="226">
        <f t="shared" ref="I15:I16" si="1">TRUNC(H15*F15,2)</f>
        <v>385</v>
      </c>
    </row>
    <row r="16" spans="1:9" s="257" customFormat="1" ht="15" customHeight="1" x14ac:dyDescent="0.2">
      <c r="A16" s="251"/>
      <c r="B16" s="252" t="s">
        <v>143</v>
      </c>
      <c r="C16" s="220" t="s">
        <v>89</v>
      </c>
      <c r="D16" s="254" t="s">
        <v>90</v>
      </c>
      <c r="E16" s="220" t="s">
        <v>31</v>
      </c>
      <c r="F16" s="258">
        <v>2</v>
      </c>
      <c r="G16" s="224">
        <v>280</v>
      </c>
      <c r="H16" s="224">
        <f t="shared" si="0"/>
        <v>359.38</v>
      </c>
      <c r="I16" s="226">
        <f t="shared" si="1"/>
        <v>718.76</v>
      </c>
    </row>
    <row r="17" spans="1:9" s="257" customFormat="1" ht="15" customHeight="1" x14ac:dyDescent="0.2">
      <c r="A17" s="259"/>
      <c r="B17" s="260"/>
      <c r="C17" s="261"/>
      <c r="D17" s="262"/>
      <c r="E17" s="263"/>
      <c r="F17" s="264"/>
      <c r="G17" s="234" t="s">
        <v>1</v>
      </c>
      <c r="H17" s="265"/>
      <c r="I17" s="236">
        <f>TRUNC(SUM(I14:I16),2)</f>
        <v>1834.25</v>
      </c>
    </row>
    <row r="18" spans="1:9" s="257" customFormat="1" ht="15" customHeight="1" x14ac:dyDescent="0.2">
      <c r="A18" s="259"/>
      <c r="B18" s="266"/>
      <c r="C18" s="267"/>
      <c r="D18" s="268"/>
      <c r="E18" s="269"/>
      <c r="F18" s="270"/>
      <c r="G18" s="271"/>
      <c r="H18" s="272"/>
      <c r="I18" s="273"/>
    </row>
    <row r="19" spans="1:9" ht="15" x14ac:dyDescent="0.25">
      <c r="B19" s="212">
        <v>3</v>
      </c>
      <c r="C19" s="213"/>
      <c r="D19" s="214" t="s">
        <v>80</v>
      </c>
      <c r="E19" s="215"/>
      <c r="F19" s="215"/>
      <c r="G19" s="274"/>
      <c r="H19" s="217"/>
      <c r="I19" s="218"/>
    </row>
    <row r="20" spans="1:9" s="257" customFormat="1" x14ac:dyDescent="0.2">
      <c r="A20" s="251"/>
      <c r="B20" s="275" t="s">
        <v>66</v>
      </c>
      <c r="C20" s="222" t="s">
        <v>125</v>
      </c>
      <c r="D20" s="276" t="s">
        <v>81</v>
      </c>
      <c r="E20" s="222" t="s">
        <v>31</v>
      </c>
      <c r="F20" s="277">
        <v>1</v>
      </c>
      <c r="G20" s="224">
        <f>Composições!G29</f>
        <v>576.92000000000007</v>
      </c>
      <c r="H20" s="278">
        <f>G20*1.2835</f>
        <v>740.47682000000009</v>
      </c>
      <c r="I20" s="226">
        <f t="shared" ref="I20:I21" si="2">TRUNC(H20*F20,2)</f>
        <v>740.47</v>
      </c>
    </row>
    <row r="21" spans="1:9" s="257" customFormat="1" x14ac:dyDescent="0.2">
      <c r="A21" s="251"/>
      <c r="B21" s="275" t="s">
        <v>62</v>
      </c>
      <c r="C21" s="279" t="s">
        <v>59</v>
      </c>
      <c r="D21" s="276" t="s">
        <v>84</v>
      </c>
      <c r="E21" s="222" t="s">
        <v>31</v>
      </c>
      <c r="F21" s="277">
        <v>1</v>
      </c>
      <c r="G21" s="224">
        <f>Composições!G33</f>
        <v>784.76</v>
      </c>
      <c r="H21" s="278">
        <f>G21*1.2835</f>
        <v>1007.23946</v>
      </c>
      <c r="I21" s="226">
        <f t="shared" si="2"/>
        <v>1007.23</v>
      </c>
    </row>
    <row r="22" spans="1:9" s="257" customFormat="1" ht="15" x14ac:dyDescent="0.2">
      <c r="A22" s="251"/>
      <c r="B22" s="280"/>
      <c r="C22" s="230"/>
      <c r="D22" s="281"/>
      <c r="E22" s="282"/>
      <c r="F22" s="283"/>
      <c r="G22" s="284" t="s">
        <v>1</v>
      </c>
      <c r="H22" s="285"/>
      <c r="I22" s="236">
        <f>TRUNC(SUM(I20:I21),2)</f>
        <v>1747.7</v>
      </c>
    </row>
    <row r="23" spans="1:9" ht="15" x14ac:dyDescent="0.2">
      <c r="B23" s="219"/>
      <c r="C23" s="237"/>
      <c r="D23" s="286"/>
      <c r="E23" s="287"/>
      <c r="F23" s="288"/>
      <c r="G23" s="289"/>
      <c r="H23" s="290"/>
      <c r="I23" s="291"/>
    </row>
    <row r="24" spans="1:9" ht="15" x14ac:dyDescent="0.25">
      <c r="B24" s="212">
        <v>4</v>
      </c>
      <c r="C24" s="213"/>
      <c r="D24" s="292" t="s">
        <v>9</v>
      </c>
      <c r="E24" s="293"/>
      <c r="F24" s="293"/>
      <c r="G24" s="294"/>
      <c r="H24" s="295"/>
      <c r="I24" s="296"/>
    </row>
    <row r="25" spans="1:9" s="257" customFormat="1" x14ac:dyDescent="0.2">
      <c r="A25" s="251"/>
      <c r="B25" s="275" t="s">
        <v>67</v>
      </c>
      <c r="C25" s="297" t="s">
        <v>124</v>
      </c>
      <c r="D25" s="298" t="s">
        <v>76</v>
      </c>
      <c r="E25" s="222" t="s">
        <v>6</v>
      </c>
      <c r="F25" s="277">
        <v>22.4</v>
      </c>
      <c r="G25" s="224">
        <f>Composições!G26</f>
        <v>2.871</v>
      </c>
      <c r="H25" s="278">
        <f>G25*1.2835</f>
        <v>3.6849285000000003</v>
      </c>
      <c r="I25" s="226">
        <f t="shared" ref="I25:I35" si="3">TRUNC(H25*F25,2)</f>
        <v>82.54</v>
      </c>
    </row>
    <row r="26" spans="1:9" s="257" customFormat="1" ht="25.5" x14ac:dyDescent="0.2">
      <c r="A26" s="251"/>
      <c r="B26" s="275" t="s">
        <v>116</v>
      </c>
      <c r="C26" s="297">
        <v>97647</v>
      </c>
      <c r="D26" s="276" t="s">
        <v>54</v>
      </c>
      <c r="E26" s="222" t="s">
        <v>0</v>
      </c>
      <c r="F26" s="277">
        <v>280.83999999999997</v>
      </c>
      <c r="G26" s="224">
        <v>2.4500000000000002</v>
      </c>
      <c r="H26" s="278">
        <f t="shared" ref="H26:H35" si="4">G26*1.2835</f>
        <v>3.1445750000000006</v>
      </c>
      <c r="I26" s="226">
        <f t="shared" si="3"/>
        <v>883.12</v>
      </c>
    </row>
    <row r="27" spans="1:9" s="257" customFormat="1" ht="25.5" x14ac:dyDescent="0.2">
      <c r="A27" s="251"/>
      <c r="B27" s="275" t="s">
        <v>117</v>
      </c>
      <c r="C27" s="279">
        <v>97640</v>
      </c>
      <c r="D27" s="276" t="s">
        <v>53</v>
      </c>
      <c r="E27" s="222" t="s">
        <v>0</v>
      </c>
      <c r="F27" s="277">
        <v>223.89</v>
      </c>
      <c r="G27" s="224">
        <v>1.1100000000000001</v>
      </c>
      <c r="H27" s="278">
        <f t="shared" si="4"/>
        <v>1.4246850000000002</v>
      </c>
      <c r="I27" s="226">
        <f t="shared" si="3"/>
        <v>318.97000000000003</v>
      </c>
    </row>
    <row r="28" spans="1:9" s="257" customFormat="1" ht="25.5" x14ac:dyDescent="0.2">
      <c r="A28" s="251"/>
      <c r="B28" s="275" t="s">
        <v>144</v>
      </c>
      <c r="C28" s="222">
        <v>97650</v>
      </c>
      <c r="D28" s="276" t="s">
        <v>164</v>
      </c>
      <c r="E28" s="222" t="s">
        <v>0</v>
      </c>
      <c r="F28" s="277">
        <v>280.83999999999997</v>
      </c>
      <c r="G28" s="224">
        <v>5.27</v>
      </c>
      <c r="H28" s="278">
        <f t="shared" si="4"/>
        <v>6.7640450000000003</v>
      </c>
      <c r="I28" s="226">
        <f t="shared" si="3"/>
        <v>1899.61</v>
      </c>
    </row>
    <row r="29" spans="1:9" s="257" customFormat="1" ht="25.5" x14ac:dyDescent="0.2">
      <c r="A29" s="251"/>
      <c r="B29" s="275" t="s">
        <v>145</v>
      </c>
      <c r="C29" s="222">
        <v>97651</v>
      </c>
      <c r="D29" s="276" t="s">
        <v>165</v>
      </c>
      <c r="E29" s="222" t="s">
        <v>0</v>
      </c>
      <c r="F29" s="277">
        <v>6</v>
      </c>
      <c r="G29" s="224">
        <v>58.34</v>
      </c>
      <c r="H29" s="278">
        <f t="shared" si="4"/>
        <v>74.879390000000015</v>
      </c>
      <c r="I29" s="226">
        <f t="shared" si="3"/>
        <v>449.27</v>
      </c>
    </row>
    <row r="30" spans="1:9" s="257" customFormat="1" ht="25.5" x14ac:dyDescent="0.2">
      <c r="A30" s="251"/>
      <c r="B30" s="275" t="s">
        <v>146</v>
      </c>
      <c r="C30" s="297">
        <v>94218</v>
      </c>
      <c r="D30" s="299" t="s">
        <v>163</v>
      </c>
      <c r="E30" s="222" t="s">
        <v>13</v>
      </c>
      <c r="F30" s="277">
        <v>280.83999999999997</v>
      </c>
      <c r="G30" s="224">
        <v>119.64</v>
      </c>
      <c r="H30" s="278">
        <f t="shared" si="4"/>
        <v>153.55794</v>
      </c>
      <c r="I30" s="226">
        <f t="shared" si="3"/>
        <v>43125.21</v>
      </c>
    </row>
    <row r="31" spans="1:9" s="257" customFormat="1" ht="33" customHeight="1" x14ac:dyDescent="0.2">
      <c r="A31" s="251"/>
      <c r="B31" s="275" t="s">
        <v>147</v>
      </c>
      <c r="C31" s="220">
        <v>94228</v>
      </c>
      <c r="D31" s="300" t="s">
        <v>19</v>
      </c>
      <c r="E31" s="220" t="s">
        <v>6</v>
      </c>
      <c r="F31" s="277">
        <v>22.4</v>
      </c>
      <c r="G31" s="301">
        <v>92.93</v>
      </c>
      <c r="H31" s="278">
        <f t="shared" si="4"/>
        <v>119.27565500000001</v>
      </c>
      <c r="I31" s="226">
        <f t="shared" si="3"/>
        <v>2671.77</v>
      </c>
    </row>
    <row r="32" spans="1:9" s="257" customFormat="1" ht="25.5" x14ac:dyDescent="0.2">
      <c r="A32" s="251"/>
      <c r="B32" s="275" t="s">
        <v>148</v>
      </c>
      <c r="C32" s="220">
        <v>94231</v>
      </c>
      <c r="D32" s="300" t="s">
        <v>20</v>
      </c>
      <c r="E32" s="220" t="s">
        <v>6</v>
      </c>
      <c r="F32" s="277">
        <v>22.4</v>
      </c>
      <c r="G32" s="301">
        <v>54.26</v>
      </c>
      <c r="H32" s="278">
        <f t="shared" si="4"/>
        <v>69.642710000000008</v>
      </c>
      <c r="I32" s="226">
        <f t="shared" si="3"/>
        <v>1559.99</v>
      </c>
    </row>
    <row r="33" spans="1:9" s="257" customFormat="1" x14ac:dyDescent="0.2">
      <c r="A33" s="251"/>
      <c r="B33" s="275" t="s">
        <v>149</v>
      </c>
      <c r="C33" s="220" t="s">
        <v>43</v>
      </c>
      <c r="D33" s="302" t="s">
        <v>24</v>
      </c>
      <c r="E33" s="220" t="s">
        <v>0</v>
      </c>
      <c r="F33" s="277">
        <v>20.100000000000001</v>
      </c>
      <c r="G33" s="301">
        <f>Composições!G5</f>
        <v>55.62</v>
      </c>
      <c r="H33" s="278">
        <f t="shared" si="4"/>
        <v>71.388270000000006</v>
      </c>
      <c r="I33" s="226">
        <f t="shared" si="3"/>
        <v>1434.9</v>
      </c>
    </row>
    <row r="34" spans="1:9" s="257" customFormat="1" ht="38.25" x14ac:dyDescent="0.2">
      <c r="A34" s="251"/>
      <c r="B34" s="275" t="s">
        <v>204</v>
      </c>
      <c r="C34" s="279">
        <v>92602</v>
      </c>
      <c r="D34" s="303" t="s">
        <v>122</v>
      </c>
      <c r="E34" s="304" t="s">
        <v>13</v>
      </c>
      <c r="F34" s="305">
        <v>6</v>
      </c>
      <c r="G34" s="306">
        <v>779.68</v>
      </c>
      <c r="H34" s="278">
        <f t="shared" si="4"/>
        <v>1000.71928</v>
      </c>
      <c r="I34" s="226">
        <f t="shared" si="3"/>
        <v>6004.31</v>
      </c>
    </row>
    <row r="35" spans="1:9" s="257" customFormat="1" ht="25.5" x14ac:dyDescent="0.2">
      <c r="A35" s="251"/>
      <c r="B35" s="275" t="s">
        <v>205</v>
      </c>
      <c r="C35" s="222">
        <v>96114</v>
      </c>
      <c r="D35" s="303" t="s">
        <v>123</v>
      </c>
      <c r="E35" s="304" t="s">
        <v>0</v>
      </c>
      <c r="F35" s="305">
        <v>223.89</v>
      </c>
      <c r="G35" s="306">
        <v>66.8</v>
      </c>
      <c r="H35" s="278">
        <f t="shared" si="4"/>
        <v>85.737800000000007</v>
      </c>
      <c r="I35" s="226">
        <f t="shared" si="3"/>
        <v>19195.830000000002</v>
      </c>
    </row>
    <row r="36" spans="1:9" ht="15" x14ac:dyDescent="0.2">
      <c r="B36" s="307"/>
      <c r="C36" s="308"/>
      <c r="D36" s="308"/>
      <c r="E36" s="308"/>
      <c r="F36" s="308"/>
      <c r="G36" s="234" t="s">
        <v>1</v>
      </c>
      <c r="H36" s="309"/>
      <c r="I36" s="236">
        <f>TRUNC(SUM(I25:I35),2)</f>
        <v>77625.52</v>
      </c>
    </row>
    <row r="37" spans="1:9" ht="15" x14ac:dyDescent="0.2">
      <c r="B37" s="310"/>
      <c r="C37" s="311"/>
      <c r="D37" s="311"/>
      <c r="E37" s="311"/>
      <c r="F37" s="311"/>
      <c r="G37" s="312"/>
      <c r="H37" s="313"/>
      <c r="I37" s="314"/>
    </row>
    <row r="38" spans="1:9" ht="15" x14ac:dyDescent="0.25">
      <c r="B38" s="315">
        <v>5</v>
      </c>
      <c r="C38" s="316"/>
      <c r="D38" s="317" t="s">
        <v>107</v>
      </c>
      <c r="E38" s="317"/>
      <c r="F38" s="317"/>
      <c r="G38" s="318"/>
      <c r="H38" s="319"/>
      <c r="I38" s="320"/>
    </row>
    <row r="39" spans="1:9" s="257" customFormat="1" x14ac:dyDescent="0.2">
      <c r="A39" s="251"/>
      <c r="B39" s="275" t="s">
        <v>68</v>
      </c>
      <c r="C39" s="220" t="s">
        <v>86</v>
      </c>
      <c r="D39" s="298" t="s">
        <v>108</v>
      </c>
      <c r="E39" s="220" t="s">
        <v>0</v>
      </c>
      <c r="F39" s="277">
        <v>2</v>
      </c>
      <c r="G39" s="301">
        <f>Composições!G49</f>
        <v>59.034599999999998</v>
      </c>
      <c r="H39" s="278">
        <f>G39*1.2835</f>
        <v>75.770909099999997</v>
      </c>
      <c r="I39" s="226">
        <f t="shared" ref="I39:I44" si="5">TRUNC(H39*F39,2)</f>
        <v>151.54</v>
      </c>
    </row>
    <row r="40" spans="1:9" s="257" customFormat="1" x14ac:dyDescent="0.2">
      <c r="A40" s="251"/>
      <c r="B40" s="275" t="s">
        <v>69</v>
      </c>
      <c r="C40" s="220" t="s">
        <v>87</v>
      </c>
      <c r="D40" s="298" t="s">
        <v>109</v>
      </c>
      <c r="E40" s="220" t="s">
        <v>0</v>
      </c>
      <c r="F40" s="277">
        <v>0.02</v>
      </c>
      <c r="G40" s="301">
        <f>Composições!G54</f>
        <v>29.540500000000002</v>
      </c>
      <c r="H40" s="278">
        <f t="shared" ref="H40:H44" si="6">G40*1.2835</f>
        <v>37.915231750000004</v>
      </c>
      <c r="I40" s="226">
        <f t="shared" si="5"/>
        <v>0.75</v>
      </c>
    </row>
    <row r="41" spans="1:9" s="257" customFormat="1" x14ac:dyDescent="0.2">
      <c r="A41" s="251"/>
      <c r="B41" s="275" t="s">
        <v>150</v>
      </c>
      <c r="C41" s="220" t="s">
        <v>102</v>
      </c>
      <c r="D41" s="298" t="s">
        <v>114</v>
      </c>
      <c r="E41" s="220" t="s">
        <v>0</v>
      </c>
      <c r="F41" s="277">
        <v>0.5</v>
      </c>
      <c r="G41" s="301">
        <f>Composições!G59</f>
        <v>32.314999999999998</v>
      </c>
      <c r="H41" s="278">
        <f t="shared" si="6"/>
        <v>41.476302500000003</v>
      </c>
      <c r="I41" s="226">
        <f t="shared" si="5"/>
        <v>20.73</v>
      </c>
    </row>
    <row r="42" spans="1:9" s="257" customFormat="1" x14ac:dyDescent="0.2">
      <c r="A42" s="251"/>
      <c r="B42" s="275" t="s">
        <v>155</v>
      </c>
      <c r="C42" s="220">
        <v>97631</v>
      </c>
      <c r="D42" s="298" t="s">
        <v>157</v>
      </c>
      <c r="E42" s="220" t="s">
        <v>0</v>
      </c>
      <c r="F42" s="277">
        <v>61.56</v>
      </c>
      <c r="G42" s="301">
        <v>2.29</v>
      </c>
      <c r="H42" s="278">
        <f t="shared" si="6"/>
        <v>2.9392150000000004</v>
      </c>
      <c r="I42" s="226">
        <f t="shared" si="5"/>
        <v>180.93</v>
      </c>
    </row>
    <row r="43" spans="1:9" s="257" customFormat="1" ht="51" x14ac:dyDescent="0.2">
      <c r="A43" s="251"/>
      <c r="B43" s="275" t="s">
        <v>158</v>
      </c>
      <c r="C43" s="220">
        <v>87527</v>
      </c>
      <c r="D43" s="298" t="s">
        <v>206</v>
      </c>
      <c r="E43" s="220" t="s">
        <v>0</v>
      </c>
      <c r="F43" s="277">
        <v>61.56</v>
      </c>
      <c r="G43" s="301">
        <v>30.09</v>
      </c>
      <c r="H43" s="278">
        <f t="shared" si="6"/>
        <v>38.620515000000005</v>
      </c>
      <c r="I43" s="226">
        <f t="shared" si="5"/>
        <v>2377.4699999999998</v>
      </c>
    </row>
    <row r="44" spans="1:9" s="257" customFormat="1" ht="25.5" x14ac:dyDescent="0.2">
      <c r="A44" s="251"/>
      <c r="B44" s="275" t="s">
        <v>160</v>
      </c>
      <c r="C44" s="220">
        <v>123</v>
      </c>
      <c r="D44" s="298" t="s">
        <v>159</v>
      </c>
      <c r="E44" s="220" t="s">
        <v>47</v>
      </c>
      <c r="F44" s="277">
        <v>2.5</v>
      </c>
      <c r="G44" s="301">
        <v>5.43</v>
      </c>
      <c r="H44" s="278">
        <f t="shared" si="6"/>
        <v>6.9694050000000001</v>
      </c>
      <c r="I44" s="226">
        <f t="shared" si="5"/>
        <v>17.420000000000002</v>
      </c>
    </row>
    <row r="45" spans="1:9" ht="15" x14ac:dyDescent="0.2">
      <c r="B45" s="321"/>
      <c r="C45" s="322"/>
      <c r="D45" s="323"/>
      <c r="E45" s="322"/>
      <c r="F45" s="233"/>
      <c r="G45" s="234" t="s">
        <v>1</v>
      </c>
      <c r="H45" s="324"/>
      <c r="I45" s="236">
        <f>TRUNC(SUM(I39:I44),2)</f>
        <v>2748.84</v>
      </c>
    </row>
    <row r="46" spans="1:9" ht="15" x14ac:dyDescent="0.2">
      <c r="B46" s="310"/>
      <c r="C46" s="311"/>
      <c r="D46" s="311"/>
      <c r="E46" s="311"/>
      <c r="F46" s="311"/>
      <c r="G46" s="312"/>
      <c r="H46" s="313"/>
      <c r="I46" s="314"/>
    </row>
    <row r="47" spans="1:9" ht="15" x14ac:dyDescent="0.25">
      <c r="B47" s="325">
        <v>6</v>
      </c>
      <c r="C47" s="326"/>
      <c r="D47" s="215" t="s">
        <v>121</v>
      </c>
      <c r="E47" s="215"/>
      <c r="F47" s="215"/>
      <c r="G47" s="327"/>
      <c r="H47" s="328"/>
      <c r="I47" s="320"/>
    </row>
    <row r="48" spans="1:9" s="257" customFormat="1" x14ac:dyDescent="0.2">
      <c r="A48" s="251"/>
      <c r="B48" s="329" t="s">
        <v>70</v>
      </c>
      <c r="C48" s="330" t="s">
        <v>105</v>
      </c>
      <c r="D48" s="331" t="s">
        <v>60</v>
      </c>
      <c r="E48" s="304" t="s">
        <v>0</v>
      </c>
      <c r="F48" s="332">
        <v>696.69</v>
      </c>
      <c r="G48" s="333">
        <f>Composições!G23</f>
        <v>4.7460000000000004</v>
      </c>
      <c r="H48" s="278">
        <f>G48*1.2835</f>
        <v>6.0914910000000013</v>
      </c>
      <c r="I48" s="226">
        <f t="shared" ref="I48:I56" si="7">TRUNC(H48*F48,2)</f>
        <v>4243.88</v>
      </c>
    </row>
    <row r="49" spans="1:9" s="257" customFormat="1" x14ac:dyDescent="0.2">
      <c r="A49" s="251"/>
      <c r="B49" s="329" t="s">
        <v>71</v>
      </c>
      <c r="C49" s="330">
        <v>88485</v>
      </c>
      <c r="D49" s="331" t="s">
        <v>21</v>
      </c>
      <c r="E49" s="304" t="s">
        <v>0</v>
      </c>
      <c r="F49" s="332">
        <v>696.69</v>
      </c>
      <c r="G49" s="333">
        <v>1.64</v>
      </c>
      <c r="H49" s="278">
        <f t="shared" ref="H49:H56" si="8">G49*1.2835</f>
        <v>2.10494</v>
      </c>
      <c r="I49" s="226">
        <f t="shared" si="7"/>
        <v>1466.49</v>
      </c>
    </row>
    <row r="50" spans="1:9" s="257" customFormat="1" x14ac:dyDescent="0.2">
      <c r="A50" s="251"/>
      <c r="B50" s="329" t="s">
        <v>151</v>
      </c>
      <c r="C50" s="220">
        <v>88497</v>
      </c>
      <c r="D50" s="300" t="s">
        <v>22</v>
      </c>
      <c r="E50" s="304" t="s">
        <v>0</v>
      </c>
      <c r="F50" s="277">
        <v>455.33</v>
      </c>
      <c r="G50" s="301">
        <v>12.1</v>
      </c>
      <c r="H50" s="278">
        <f t="shared" si="8"/>
        <v>15.53035</v>
      </c>
      <c r="I50" s="226">
        <f t="shared" si="7"/>
        <v>7071.43</v>
      </c>
    </row>
    <row r="51" spans="1:9" s="257" customFormat="1" x14ac:dyDescent="0.2">
      <c r="A51" s="251"/>
      <c r="B51" s="329" t="s">
        <v>72</v>
      </c>
      <c r="C51" s="220">
        <v>95305</v>
      </c>
      <c r="D51" s="298" t="s">
        <v>23</v>
      </c>
      <c r="E51" s="220" t="s">
        <v>0</v>
      </c>
      <c r="F51" s="277">
        <v>241.36</v>
      </c>
      <c r="G51" s="224">
        <v>10.73</v>
      </c>
      <c r="H51" s="278">
        <f t="shared" si="8"/>
        <v>13.771955000000002</v>
      </c>
      <c r="I51" s="226">
        <f t="shared" si="7"/>
        <v>3323.99</v>
      </c>
    </row>
    <row r="52" spans="1:9" s="257" customFormat="1" x14ac:dyDescent="0.2">
      <c r="A52" s="251"/>
      <c r="B52" s="329" t="s">
        <v>73</v>
      </c>
      <c r="C52" s="220">
        <v>88496</v>
      </c>
      <c r="D52" s="298" t="s">
        <v>188</v>
      </c>
      <c r="E52" s="220" t="s">
        <v>0</v>
      </c>
      <c r="F52" s="277">
        <v>223.89</v>
      </c>
      <c r="G52" s="224">
        <v>21.29</v>
      </c>
      <c r="H52" s="278">
        <f t="shared" si="8"/>
        <v>27.325715000000002</v>
      </c>
      <c r="I52" s="226">
        <f t="shared" si="7"/>
        <v>6117.95</v>
      </c>
    </row>
    <row r="53" spans="1:9" s="257" customFormat="1" ht="25.5" x14ac:dyDescent="0.2">
      <c r="A53" s="251"/>
      <c r="B53" s="329" t="s">
        <v>74</v>
      </c>
      <c r="C53" s="220">
        <v>88488</v>
      </c>
      <c r="D53" s="298" t="s">
        <v>189</v>
      </c>
      <c r="E53" s="220" t="s">
        <v>0</v>
      </c>
      <c r="F53" s="277">
        <v>223.89</v>
      </c>
      <c r="G53" s="224">
        <v>13.42</v>
      </c>
      <c r="H53" s="278">
        <f t="shared" si="8"/>
        <v>17.22457</v>
      </c>
      <c r="I53" s="226">
        <f t="shared" si="7"/>
        <v>3856.4</v>
      </c>
    </row>
    <row r="54" spans="1:9" s="257" customFormat="1" ht="25.5" x14ac:dyDescent="0.2">
      <c r="A54" s="251"/>
      <c r="B54" s="329" t="s">
        <v>152</v>
      </c>
      <c r="C54" s="220" t="s">
        <v>44</v>
      </c>
      <c r="D54" s="298" t="s">
        <v>17</v>
      </c>
      <c r="E54" s="220" t="s">
        <v>0</v>
      </c>
      <c r="F54" s="277">
        <v>455.33</v>
      </c>
      <c r="G54" s="301">
        <f>Composições!G15</f>
        <v>26.740000000000002</v>
      </c>
      <c r="H54" s="278">
        <f>G54*1.2835</f>
        <v>34.320790000000002</v>
      </c>
      <c r="I54" s="226">
        <f t="shared" si="7"/>
        <v>15627.28</v>
      </c>
    </row>
    <row r="55" spans="1:9" s="257" customFormat="1" ht="25.5" x14ac:dyDescent="0.2">
      <c r="A55" s="251"/>
      <c r="B55" s="329" t="s">
        <v>190</v>
      </c>
      <c r="C55" s="220" t="s">
        <v>127</v>
      </c>
      <c r="D55" s="334" t="s">
        <v>49</v>
      </c>
      <c r="E55" s="220" t="s">
        <v>0</v>
      </c>
      <c r="F55" s="277">
        <v>241.36</v>
      </c>
      <c r="G55" s="301">
        <f>Composições!G19</f>
        <v>11.739000000000001</v>
      </c>
      <c r="H55" s="278">
        <f t="shared" si="8"/>
        <v>15.067006500000002</v>
      </c>
      <c r="I55" s="226">
        <f t="shared" si="7"/>
        <v>3636.57</v>
      </c>
    </row>
    <row r="56" spans="1:9" s="257" customFormat="1" x14ac:dyDescent="0.2">
      <c r="A56" s="251"/>
      <c r="B56" s="329" t="s">
        <v>191</v>
      </c>
      <c r="C56" s="220" t="s">
        <v>103</v>
      </c>
      <c r="D56" s="334" t="s">
        <v>118</v>
      </c>
      <c r="E56" s="220" t="s">
        <v>6</v>
      </c>
      <c r="F56" s="277">
        <v>30</v>
      </c>
      <c r="G56" s="301">
        <f>Composições!G64</f>
        <v>18.863500000000002</v>
      </c>
      <c r="H56" s="278">
        <f t="shared" si="8"/>
        <v>24.211302250000003</v>
      </c>
      <c r="I56" s="226">
        <f t="shared" si="7"/>
        <v>726.33</v>
      </c>
    </row>
    <row r="57" spans="1:9" ht="15" x14ac:dyDescent="0.2">
      <c r="B57" s="307"/>
      <c r="C57" s="308"/>
      <c r="D57" s="308"/>
      <c r="E57" s="308"/>
      <c r="F57" s="308"/>
      <c r="G57" s="335" t="s">
        <v>1</v>
      </c>
      <c r="H57" s="309"/>
      <c r="I57" s="236">
        <f>TRUNC(SUM(I48:I56),2)</f>
        <v>46070.32</v>
      </c>
    </row>
    <row r="58" spans="1:9" ht="15" x14ac:dyDescent="0.2">
      <c r="B58" s="310"/>
      <c r="C58" s="311"/>
      <c r="D58" s="311"/>
      <c r="E58" s="311"/>
      <c r="F58" s="311"/>
      <c r="G58" s="336"/>
      <c r="H58" s="313"/>
      <c r="I58" s="243"/>
    </row>
    <row r="59" spans="1:9" ht="15" x14ac:dyDescent="0.25">
      <c r="B59" s="315">
        <v>7</v>
      </c>
      <c r="C59" s="316"/>
      <c r="D59" s="317" t="s">
        <v>135</v>
      </c>
      <c r="E59" s="317"/>
      <c r="F59" s="317"/>
      <c r="G59" s="318"/>
      <c r="H59" s="319"/>
      <c r="I59" s="320"/>
    </row>
    <row r="60" spans="1:9" s="257" customFormat="1" x14ac:dyDescent="0.2">
      <c r="A60" s="251"/>
      <c r="B60" s="275" t="s">
        <v>153</v>
      </c>
      <c r="C60" s="220" t="s">
        <v>134</v>
      </c>
      <c r="D60" s="298" t="s">
        <v>129</v>
      </c>
      <c r="E60" s="220" t="s">
        <v>0</v>
      </c>
      <c r="F60" s="277">
        <v>223.89</v>
      </c>
      <c r="G60" s="301">
        <f>Composições!G69</f>
        <v>4.1399999999999997</v>
      </c>
      <c r="H60" s="278">
        <f t="shared" ref="H60:H62" si="9">G60*1.2835</f>
        <v>5.3136900000000002</v>
      </c>
      <c r="I60" s="226">
        <f t="shared" ref="I60:I62" si="10">TRUNC(H60*F60,2)</f>
        <v>1189.68</v>
      </c>
    </row>
    <row r="61" spans="1:9" s="257" customFormat="1" ht="25.5" x14ac:dyDescent="0.2">
      <c r="A61" s="251"/>
      <c r="B61" s="275" t="s">
        <v>154</v>
      </c>
      <c r="C61" s="220">
        <v>98546</v>
      </c>
      <c r="D61" s="298" t="s">
        <v>161</v>
      </c>
      <c r="E61" s="220" t="s">
        <v>0</v>
      </c>
      <c r="F61" s="277">
        <v>8</v>
      </c>
      <c r="G61" s="301">
        <v>93.94</v>
      </c>
      <c r="H61" s="278">
        <f t="shared" si="9"/>
        <v>120.57199</v>
      </c>
      <c r="I61" s="226">
        <f t="shared" si="10"/>
        <v>964.57</v>
      </c>
    </row>
    <row r="62" spans="1:9" s="257" customFormat="1" x14ac:dyDescent="0.2">
      <c r="A62" s="251"/>
      <c r="B62" s="275" t="s">
        <v>162</v>
      </c>
      <c r="C62" s="220" t="s">
        <v>128</v>
      </c>
      <c r="D62" s="298" t="s">
        <v>136</v>
      </c>
      <c r="E62" s="220" t="s">
        <v>0</v>
      </c>
      <c r="F62" s="277">
        <v>25</v>
      </c>
      <c r="G62" s="301">
        <f>Composições!G74</f>
        <v>70.186000000000007</v>
      </c>
      <c r="H62" s="278">
        <f t="shared" si="9"/>
        <v>90.083731000000014</v>
      </c>
      <c r="I62" s="226">
        <f t="shared" si="10"/>
        <v>2252.09</v>
      </c>
    </row>
    <row r="63" spans="1:9" ht="15" x14ac:dyDescent="0.2">
      <c r="B63" s="321"/>
      <c r="C63" s="322"/>
      <c r="D63" s="323"/>
      <c r="E63" s="322"/>
      <c r="F63" s="233"/>
      <c r="G63" s="234" t="s">
        <v>1</v>
      </c>
      <c r="H63" s="324"/>
      <c r="I63" s="236">
        <f>TRUNC(SUM(I60:I62),2)</f>
        <v>4406.34</v>
      </c>
    </row>
    <row r="64" spans="1:9" x14ac:dyDescent="0.2">
      <c r="B64" s="337"/>
      <c r="C64" s="338"/>
      <c r="D64" s="339"/>
      <c r="E64" s="338"/>
      <c r="F64" s="338"/>
      <c r="G64" s="340"/>
      <c r="H64" s="341"/>
      <c r="I64" s="342"/>
    </row>
    <row r="65" spans="2:9" ht="15.75" thickBot="1" x14ac:dyDescent="0.25">
      <c r="B65" s="343"/>
      <c r="C65" s="344"/>
      <c r="D65" s="345"/>
      <c r="E65" s="344"/>
      <c r="F65" s="346"/>
      <c r="G65" s="347" t="s">
        <v>179</v>
      </c>
      <c r="H65" s="348"/>
      <c r="I65" s="349">
        <f>TRUNC(SUM(I63,I57,I45,I36,I22,I17,I11),2)</f>
        <v>140120</v>
      </c>
    </row>
    <row r="68" spans="2:9" x14ac:dyDescent="0.2">
      <c r="I68" s="350"/>
    </row>
    <row r="70" spans="2:9" x14ac:dyDescent="0.2">
      <c r="F70" s="351"/>
    </row>
  </sheetData>
  <mergeCells count="3">
    <mergeCell ref="B2:G5"/>
    <mergeCell ref="I2:I3"/>
    <mergeCell ref="I4:I5"/>
  </mergeCells>
  <printOptions horizontalCentered="1" verticalCentered="1"/>
  <pageMargins left="0.25" right="0.25" top="0.75" bottom="0.75" header="0.3" footer="0.3"/>
  <pageSetup paperSize="9" scale="78" fitToHeight="0" orientation="landscape" r:id="rId1"/>
  <headerFooter scaleWithDoc="0"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8"/>
  <sheetViews>
    <sheetView zoomScale="80" zoomScaleNormal="80" workbookViewId="0">
      <selection activeCell="J14" sqref="J14"/>
    </sheetView>
  </sheetViews>
  <sheetFormatPr defaultRowHeight="14.25" x14ac:dyDescent="0.2"/>
  <cols>
    <col min="1" max="1" width="4.140625" style="191" customWidth="1"/>
    <col min="2" max="2" width="22.7109375" style="191" bestFit="1" customWidth="1"/>
    <col min="3" max="3" width="115.28515625" style="191" bestFit="1" customWidth="1"/>
    <col min="4" max="4" width="10.7109375" style="191" bestFit="1" customWidth="1"/>
    <col min="5" max="5" width="19.5703125" style="191" customWidth="1"/>
    <col min="6" max="6" width="19.28515625" style="428" bestFit="1" customWidth="1"/>
    <col min="7" max="7" width="15.140625" style="191" bestFit="1" customWidth="1"/>
    <col min="8" max="16384" width="9.140625" style="191"/>
  </cols>
  <sheetData>
    <row r="2" spans="2:12" s="370" customFormat="1" ht="30.75" customHeight="1" thickBot="1" x14ac:dyDescent="0.3">
      <c r="B2" s="455" t="s">
        <v>197</v>
      </c>
      <c r="C2" s="456"/>
      <c r="D2" s="456"/>
      <c r="E2" s="456"/>
      <c r="F2" s="457" t="s">
        <v>18</v>
      </c>
      <c r="G2" s="458"/>
    </row>
    <row r="3" spans="2:12" s="370" customFormat="1" ht="30.75" customHeight="1" thickBot="1" x14ac:dyDescent="0.3">
      <c r="B3" s="455" t="s">
        <v>198</v>
      </c>
      <c r="C3" s="456"/>
      <c r="D3" s="456"/>
      <c r="E3" s="456"/>
      <c r="F3" s="459">
        <v>44501</v>
      </c>
      <c r="G3" s="460"/>
    </row>
    <row r="4" spans="2:12" s="190" customFormat="1" ht="15.75" x14ac:dyDescent="0.2">
      <c r="B4" s="371" t="s">
        <v>8</v>
      </c>
      <c r="C4" s="372" t="s">
        <v>25</v>
      </c>
      <c r="D4" s="371" t="s">
        <v>26</v>
      </c>
      <c r="E4" s="373" t="s">
        <v>27</v>
      </c>
      <c r="F4" s="374" t="s">
        <v>28</v>
      </c>
      <c r="G4" s="375" t="s">
        <v>29</v>
      </c>
      <c r="H4" s="376"/>
      <c r="I4" s="376"/>
      <c r="J4" s="376"/>
      <c r="K4" s="376"/>
      <c r="L4" s="376"/>
    </row>
    <row r="5" spans="2:12" s="190" customFormat="1" ht="31.5" x14ac:dyDescent="0.2">
      <c r="B5" s="377" t="s">
        <v>11</v>
      </c>
      <c r="C5" s="378" t="s">
        <v>32</v>
      </c>
      <c r="D5" s="379" t="s">
        <v>6</v>
      </c>
      <c r="E5" s="380"/>
      <c r="F5" s="381"/>
      <c r="G5" s="382">
        <f>SUM(G6:G14)</f>
        <v>55.62</v>
      </c>
      <c r="H5" s="376"/>
      <c r="I5" s="376"/>
      <c r="J5" s="376"/>
      <c r="K5" s="376"/>
      <c r="L5" s="376"/>
    </row>
    <row r="6" spans="2:12" s="190" customFormat="1" ht="15" x14ac:dyDescent="0.2">
      <c r="B6" s="383">
        <v>142</v>
      </c>
      <c r="C6" s="384" t="s">
        <v>33</v>
      </c>
      <c r="D6" s="385" t="s">
        <v>34</v>
      </c>
      <c r="E6" s="386">
        <v>0.25</v>
      </c>
      <c r="F6" s="387">
        <v>26.04</v>
      </c>
      <c r="G6" s="388">
        <f t="shared" ref="G6:G14" si="0">TRUNC(F6*E6,2)</f>
        <v>6.51</v>
      </c>
      <c r="H6" s="376"/>
      <c r="I6" s="376"/>
      <c r="J6" s="376"/>
      <c r="K6" s="376"/>
      <c r="L6" s="376"/>
    </row>
    <row r="7" spans="2:12" s="190" customFormat="1" ht="15" x14ac:dyDescent="0.2">
      <c r="B7" s="383">
        <v>5061</v>
      </c>
      <c r="C7" s="384" t="s">
        <v>35</v>
      </c>
      <c r="D7" s="385" t="s">
        <v>7</v>
      </c>
      <c r="E7" s="386">
        <v>6.0000000000000001E-3</v>
      </c>
      <c r="F7" s="388">
        <v>23</v>
      </c>
      <c r="G7" s="388">
        <f t="shared" si="0"/>
        <v>0.13</v>
      </c>
      <c r="H7" s="376"/>
      <c r="I7" s="376"/>
      <c r="J7" s="376"/>
      <c r="K7" s="376"/>
      <c r="L7" s="376"/>
    </row>
    <row r="8" spans="2:12" s="190" customFormat="1" ht="15" x14ac:dyDescent="0.2">
      <c r="B8" s="383">
        <v>5104</v>
      </c>
      <c r="C8" s="384" t="s">
        <v>36</v>
      </c>
      <c r="D8" s="385" t="s">
        <v>7</v>
      </c>
      <c r="E8" s="386">
        <v>1.1999999999999999E-3</v>
      </c>
      <c r="F8" s="388">
        <v>74.42</v>
      </c>
      <c r="G8" s="388">
        <f t="shared" si="0"/>
        <v>0.08</v>
      </c>
      <c r="H8" s="376"/>
      <c r="I8" s="376"/>
      <c r="J8" s="376"/>
      <c r="K8" s="376"/>
      <c r="L8" s="376"/>
    </row>
    <row r="9" spans="2:12" s="190" customFormat="1" ht="15" x14ac:dyDescent="0.2">
      <c r="B9" s="383">
        <v>13388</v>
      </c>
      <c r="C9" s="384" t="s">
        <v>37</v>
      </c>
      <c r="D9" s="385" t="s">
        <v>7</v>
      </c>
      <c r="E9" s="386">
        <v>4.4999999999999998E-2</v>
      </c>
      <c r="F9" s="388">
        <v>125.11</v>
      </c>
      <c r="G9" s="388">
        <f t="shared" si="0"/>
        <v>5.62</v>
      </c>
      <c r="H9" s="376"/>
      <c r="I9" s="376"/>
      <c r="J9" s="376"/>
      <c r="K9" s="376"/>
      <c r="L9" s="376"/>
    </row>
    <row r="10" spans="2:12" s="190" customFormat="1" ht="30" x14ac:dyDescent="0.2">
      <c r="B10" s="383">
        <v>40873</v>
      </c>
      <c r="C10" s="384" t="s">
        <v>38</v>
      </c>
      <c r="D10" s="385" t="s">
        <v>6</v>
      </c>
      <c r="E10" s="386">
        <v>1.05</v>
      </c>
      <c r="F10" s="388">
        <v>35.700000000000003</v>
      </c>
      <c r="G10" s="388">
        <f t="shared" si="0"/>
        <v>37.479999999999997</v>
      </c>
      <c r="H10" s="376"/>
      <c r="I10" s="376"/>
      <c r="J10" s="376"/>
      <c r="K10" s="376"/>
      <c r="L10" s="376"/>
    </row>
    <row r="11" spans="2:12" s="190" customFormat="1" ht="15" x14ac:dyDescent="0.2">
      <c r="B11" s="383">
        <v>88316</v>
      </c>
      <c r="C11" s="384" t="s">
        <v>39</v>
      </c>
      <c r="D11" s="385" t="s">
        <v>30</v>
      </c>
      <c r="E11" s="386">
        <v>0.20699999999999999</v>
      </c>
      <c r="F11" s="387">
        <v>15.16</v>
      </c>
      <c r="G11" s="388">
        <f t="shared" si="0"/>
        <v>3.13</v>
      </c>
      <c r="H11" s="376"/>
      <c r="I11" s="376"/>
      <c r="J11" s="376"/>
      <c r="K11" s="376"/>
      <c r="L11" s="376"/>
    </row>
    <row r="12" spans="2:12" s="190" customFormat="1" ht="15" x14ac:dyDescent="0.2">
      <c r="B12" s="383">
        <v>88323</v>
      </c>
      <c r="C12" s="384" t="s">
        <v>40</v>
      </c>
      <c r="D12" s="385" t="s">
        <v>30</v>
      </c>
      <c r="E12" s="386">
        <v>0.112</v>
      </c>
      <c r="F12" s="388">
        <v>19.899999999999999</v>
      </c>
      <c r="G12" s="388">
        <f t="shared" si="0"/>
        <v>2.2200000000000002</v>
      </c>
      <c r="H12" s="376"/>
      <c r="I12" s="376"/>
      <c r="J12" s="376"/>
      <c r="K12" s="376"/>
      <c r="L12" s="376"/>
    </row>
    <row r="13" spans="2:12" s="190" customFormat="1" ht="30" x14ac:dyDescent="0.2">
      <c r="B13" s="383">
        <v>93281</v>
      </c>
      <c r="C13" s="384" t="s">
        <v>41</v>
      </c>
      <c r="D13" s="385" t="s">
        <v>10</v>
      </c>
      <c r="E13" s="386">
        <v>1.32E-2</v>
      </c>
      <c r="F13" s="388">
        <v>15.2</v>
      </c>
      <c r="G13" s="388">
        <f t="shared" si="0"/>
        <v>0.2</v>
      </c>
      <c r="H13" s="376"/>
      <c r="I13" s="376"/>
      <c r="J13" s="376"/>
      <c r="K13" s="376"/>
      <c r="L13" s="376"/>
    </row>
    <row r="14" spans="2:12" s="190" customFormat="1" ht="30" x14ac:dyDescent="0.2">
      <c r="B14" s="383">
        <v>93282</v>
      </c>
      <c r="C14" s="384" t="s">
        <v>41</v>
      </c>
      <c r="D14" s="385" t="s">
        <v>42</v>
      </c>
      <c r="E14" s="386">
        <v>1.83E-2</v>
      </c>
      <c r="F14" s="388">
        <v>14.19</v>
      </c>
      <c r="G14" s="388">
        <f t="shared" si="0"/>
        <v>0.25</v>
      </c>
      <c r="H14" s="376"/>
      <c r="I14" s="376"/>
      <c r="J14" s="376"/>
      <c r="K14" s="376"/>
      <c r="L14" s="376"/>
    </row>
    <row r="15" spans="2:12" s="190" customFormat="1" ht="31.5" x14ac:dyDescent="0.2">
      <c r="B15" s="389" t="s">
        <v>12</v>
      </c>
      <c r="C15" s="390" t="s">
        <v>17</v>
      </c>
      <c r="D15" s="391" t="s">
        <v>0</v>
      </c>
      <c r="E15" s="392"/>
      <c r="F15" s="393"/>
      <c r="G15" s="382">
        <f>SUM(G16:G18)</f>
        <v>26.740000000000002</v>
      </c>
      <c r="H15" s="376"/>
      <c r="I15" s="376"/>
      <c r="J15" s="376"/>
      <c r="K15" s="376"/>
      <c r="L15" s="376"/>
    </row>
    <row r="16" spans="2:12" s="190" customFormat="1" ht="15" x14ac:dyDescent="0.2">
      <c r="B16" s="385" t="s">
        <v>141</v>
      </c>
      <c r="C16" s="384" t="s">
        <v>46</v>
      </c>
      <c r="D16" s="385" t="s">
        <v>47</v>
      </c>
      <c r="E16" s="386">
        <v>0.5</v>
      </c>
      <c r="F16" s="388">
        <v>32.049999999999997</v>
      </c>
      <c r="G16" s="388">
        <f>TRUNC(F16*E16,2)</f>
        <v>16.02</v>
      </c>
      <c r="H16" s="376"/>
      <c r="I16" s="376"/>
      <c r="J16" s="376"/>
      <c r="K16" s="376"/>
      <c r="L16" s="376"/>
    </row>
    <row r="17" spans="2:12" s="190" customFormat="1" ht="15" x14ac:dyDescent="0.2">
      <c r="B17" s="383">
        <v>88310</v>
      </c>
      <c r="C17" s="384" t="s">
        <v>48</v>
      </c>
      <c r="D17" s="385" t="s">
        <v>30</v>
      </c>
      <c r="E17" s="386">
        <v>0.5</v>
      </c>
      <c r="F17" s="388">
        <v>19.940000000000001</v>
      </c>
      <c r="G17" s="388">
        <f>TRUNC(F17*E17,2)</f>
        <v>9.9700000000000006</v>
      </c>
      <c r="H17" s="376"/>
      <c r="I17" s="376"/>
      <c r="J17" s="376"/>
      <c r="K17" s="376"/>
      <c r="L17" s="376"/>
    </row>
    <row r="18" spans="2:12" s="190" customFormat="1" ht="15" x14ac:dyDescent="0.2">
      <c r="B18" s="383">
        <v>88316</v>
      </c>
      <c r="C18" s="384" t="s">
        <v>39</v>
      </c>
      <c r="D18" s="385" t="s">
        <v>30</v>
      </c>
      <c r="E18" s="386">
        <v>0.05</v>
      </c>
      <c r="F18" s="387">
        <v>15.16</v>
      </c>
      <c r="G18" s="388">
        <f>TRUNC(F18*E18,2)</f>
        <v>0.75</v>
      </c>
      <c r="H18" s="376"/>
      <c r="I18" s="376"/>
      <c r="J18" s="376"/>
      <c r="K18" s="376"/>
      <c r="L18" s="376"/>
    </row>
    <row r="19" spans="2:12" s="190" customFormat="1" ht="31.5" x14ac:dyDescent="0.2">
      <c r="B19" s="389" t="s">
        <v>113</v>
      </c>
      <c r="C19" s="394" t="s">
        <v>49</v>
      </c>
      <c r="D19" s="377"/>
      <c r="E19" s="395"/>
      <c r="F19" s="396"/>
      <c r="G19" s="397">
        <f>SUM(G20:G22)</f>
        <v>11.739000000000001</v>
      </c>
      <c r="H19" s="376"/>
      <c r="I19" s="376"/>
      <c r="J19" s="376"/>
      <c r="K19" s="376"/>
      <c r="L19" s="376"/>
    </row>
    <row r="20" spans="2:12" s="190" customFormat="1" ht="15" x14ac:dyDescent="0.2">
      <c r="B20" s="383">
        <v>88310</v>
      </c>
      <c r="C20" s="384" t="s">
        <v>48</v>
      </c>
      <c r="D20" s="385" t="s">
        <v>30</v>
      </c>
      <c r="E20" s="386">
        <v>0.2</v>
      </c>
      <c r="F20" s="388">
        <v>19.940000000000001</v>
      </c>
      <c r="G20" s="388">
        <f>E20*F20</f>
        <v>3.9880000000000004</v>
      </c>
      <c r="H20" s="376"/>
      <c r="I20" s="376"/>
      <c r="J20" s="376"/>
      <c r="K20" s="376"/>
      <c r="L20" s="376"/>
    </row>
    <row r="21" spans="2:12" s="190" customFormat="1" ht="15" x14ac:dyDescent="0.2">
      <c r="B21" s="383">
        <v>88316</v>
      </c>
      <c r="C21" s="384" t="s">
        <v>39</v>
      </c>
      <c r="D21" s="385" t="s">
        <v>30</v>
      </c>
      <c r="E21" s="386">
        <v>0.05</v>
      </c>
      <c r="F21" s="387">
        <v>15.16</v>
      </c>
      <c r="G21" s="388">
        <f>E21*F21</f>
        <v>0.75800000000000001</v>
      </c>
      <c r="H21" s="376"/>
      <c r="I21" s="376"/>
      <c r="J21" s="376"/>
      <c r="K21" s="376"/>
      <c r="L21" s="376"/>
    </row>
    <row r="22" spans="2:12" s="190" customFormat="1" ht="15" x14ac:dyDescent="0.2">
      <c r="B22" s="385" t="s">
        <v>141</v>
      </c>
      <c r="C22" s="384" t="s">
        <v>50</v>
      </c>
      <c r="D22" s="385" t="s">
        <v>47</v>
      </c>
      <c r="E22" s="386">
        <v>0.5</v>
      </c>
      <c r="F22" s="388">
        <f>13.32*1.05</f>
        <v>13.986000000000001</v>
      </c>
      <c r="G22" s="388">
        <f>E22*F22</f>
        <v>6.9930000000000003</v>
      </c>
      <c r="H22" s="376"/>
      <c r="I22" s="376"/>
      <c r="J22" s="376"/>
      <c r="K22" s="376"/>
      <c r="L22" s="376"/>
    </row>
    <row r="23" spans="2:12" s="190" customFormat="1" ht="15.75" x14ac:dyDescent="0.2">
      <c r="B23" s="389" t="s">
        <v>14</v>
      </c>
      <c r="C23" s="394" t="s">
        <v>55</v>
      </c>
      <c r="D23" s="377"/>
      <c r="E23" s="395"/>
      <c r="F23" s="396"/>
      <c r="G23" s="397">
        <f>SUM(G24:G25)</f>
        <v>4.7460000000000004</v>
      </c>
      <c r="H23" s="376"/>
      <c r="I23" s="376"/>
      <c r="J23" s="376"/>
      <c r="K23" s="376"/>
      <c r="L23" s="376"/>
    </row>
    <row r="24" spans="2:12" s="190" customFormat="1" ht="15" x14ac:dyDescent="0.2">
      <c r="B24" s="383">
        <v>88310</v>
      </c>
      <c r="C24" s="384" t="s">
        <v>48</v>
      </c>
      <c r="D24" s="385" t="s">
        <v>30</v>
      </c>
      <c r="E24" s="386">
        <v>0.2</v>
      </c>
      <c r="F24" s="388">
        <v>19.940000000000001</v>
      </c>
      <c r="G24" s="388">
        <f>E24*F24</f>
        <v>3.9880000000000004</v>
      </c>
      <c r="H24" s="376"/>
      <c r="I24" s="376"/>
      <c r="J24" s="376"/>
      <c r="K24" s="376"/>
      <c r="L24" s="376"/>
    </row>
    <row r="25" spans="2:12" s="190" customFormat="1" ht="15" x14ac:dyDescent="0.2">
      <c r="B25" s="383">
        <v>88316</v>
      </c>
      <c r="C25" s="384" t="s">
        <v>39</v>
      </c>
      <c r="D25" s="385" t="s">
        <v>30</v>
      </c>
      <c r="E25" s="386">
        <v>0.05</v>
      </c>
      <c r="F25" s="387">
        <v>15.16</v>
      </c>
      <c r="G25" s="388">
        <f>E25*F25</f>
        <v>0.75800000000000001</v>
      </c>
      <c r="H25" s="376"/>
      <c r="I25" s="376"/>
      <c r="J25" s="376"/>
      <c r="K25" s="376"/>
      <c r="L25" s="376"/>
    </row>
    <row r="26" spans="2:12" s="376" customFormat="1" ht="15.75" x14ac:dyDescent="0.2">
      <c r="B26" s="377" t="s">
        <v>15</v>
      </c>
      <c r="C26" s="398" t="s">
        <v>76</v>
      </c>
      <c r="D26" s="399" t="s">
        <v>6</v>
      </c>
      <c r="E26" s="395"/>
      <c r="F26" s="400"/>
      <c r="G26" s="401">
        <f>SUM(G28,G27)</f>
        <v>2.871</v>
      </c>
    </row>
    <row r="27" spans="2:12" s="405" customFormat="1" ht="15" x14ac:dyDescent="0.2">
      <c r="B27" s="385">
        <v>88316</v>
      </c>
      <c r="C27" s="402" t="s">
        <v>39</v>
      </c>
      <c r="D27" s="385" t="s">
        <v>30</v>
      </c>
      <c r="E27" s="386">
        <v>0.15</v>
      </c>
      <c r="F27" s="387">
        <v>15.16</v>
      </c>
      <c r="G27" s="403">
        <f>F27*E27</f>
        <v>2.274</v>
      </c>
      <c r="H27" s="404"/>
    </row>
    <row r="28" spans="2:12" s="405" customFormat="1" ht="15" x14ac:dyDescent="0.2">
      <c r="B28" s="406">
        <v>88323</v>
      </c>
      <c r="C28" s="407" t="s">
        <v>40</v>
      </c>
      <c r="D28" s="408" t="s">
        <v>30</v>
      </c>
      <c r="E28" s="392">
        <v>0.03</v>
      </c>
      <c r="F28" s="388">
        <v>19.899999999999999</v>
      </c>
      <c r="G28" s="403">
        <f>F28*E28</f>
        <v>0.59699999999999998</v>
      </c>
    </row>
    <row r="29" spans="2:12" s="376" customFormat="1" ht="15.75" x14ac:dyDescent="0.2">
      <c r="B29" s="377" t="s">
        <v>16</v>
      </c>
      <c r="C29" s="398" t="s">
        <v>81</v>
      </c>
      <c r="D29" s="377" t="s">
        <v>13</v>
      </c>
      <c r="E29" s="395"/>
      <c r="F29" s="396"/>
      <c r="G29" s="397">
        <f>SUM(G30:G32)</f>
        <v>576.92000000000007</v>
      </c>
    </row>
    <row r="30" spans="2:12" s="405" customFormat="1" ht="15" x14ac:dyDescent="0.2">
      <c r="B30" s="385">
        <v>88316</v>
      </c>
      <c r="C30" s="402" t="s">
        <v>39</v>
      </c>
      <c r="D30" s="385" t="s">
        <v>30</v>
      </c>
      <c r="E30" s="386">
        <v>16</v>
      </c>
      <c r="F30" s="387">
        <v>15.16</v>
      </c>
      <c r="G30" s="409">
        <f>E30*F30</f>
        <v>242.56</v>
      </c>
    </row>
    <row r="31" spans="2:12" s="405" customFormat="1" ht="45" x14ac:dyDescent="0.2">
      <c r="B31" s="383">
        <v>73467</v>
      </c>
      <c r="C31" s="402" t="s">
        <v>82</v>
      </c>
      <c r="D31" s="385" t="s">
        <v>10</v>
      </c>
      <c r="E31" s="386">
        <v>2</v>
      </c>
      <c r="F31" s="387">
        <v>38.5</v>
      </c>
      <c r="G31" s="409">
        <f>E31*F31</f>
        <v>77</v>
      </c>
    </row>
    <row r="32" spans="2:12" s="405" customFormat="1" ht="38.1" customHeight="1" x14ac:dyDescent="0.2">
      <c r="B32" s="383">
        <v>5892</v>
      </c>
      <c r="C32" s="402" t="s">
        <v>83</v>
      </c>
      <c r="D32" s="385" t="s">
        <v>42</v>
      </c>
      <c r="E32" s="386">
        <v>8</v>
      </c>
      <c r="F32" s="387">
        <v>32.17</v>
      </c>
      <c r="G32" s="409">
        <f>E32*F32</f>
        <v>257.36</v>
      </c>
    </row>
    <row r="33" spans="2:7" s="376" customFormat="1" ht="15.75" x14ac:dyDescent="0.2">
      <c r="B33" s="377" t="s">
        <v>75</v>
      </c>
      <c r="C33" s="398" t="s">
        <v>84</v>
      </c>
      <c r="D33" s="377" t="s">
        <v>13</v>
      </c>
      <c r="E33" s="395"/>
      <c r="F33" s="410"/>
      <c r="G33" s="397">
        <f>SUM(G34:G36)</f>
        <v>784.76</v>
      </c>
    </row>
    <row r="34" spans="2:7" s="405" customFormat="1" ht="15" x14ac:dyDescent="0.2">
      <c r="B34" s="411">
        <v>88316</v>
      </c>
      <c r="C34" s="402" t="s">
        <v>39</v>
      </c>
      <c r="D34" s="385" t="s">
        <v>30</v>
      </c>
      <c r="E34" s="386">
        <v>16</v>
      </c>
      <c r="F34" s="387">
        <v>15.65</v>
      </c>
      <c r="G34" s="409">
        <f>E34*F34</f>
        <v>250.4</v>
      </c>
    </row>
    <row r="35" spans="2:7" s="405" customFormat="1" ht="45" x14ac:dyDescent="0.2">
      <c r="B35" s="383">
        <v>73467</v>
      </c>
      <c r="C35" s="402" t="s">
        <v>82</v>
      </c>
      <c r="D35" s="385" t="s">
        <v>10</v>
      </c>
      <c r="E35" s="386">
        <v>2</v>
      </c>
      <c r="F35" s="387">
        <v>138.5</v>
      </c>
      <c r="G35" s="409">
        <f>E35*F35</f>
        <v>277</v>
      </c>
    </row>
    <row r="36" spans="2:7" s="405" customFormat="1" ht="30" x14ac:dyDescent="0.2">
      <c r="B36" s="383">
        <v>5892</v>
      </c>
      <c r="C36" s="402" t="s">
        <v>83</v>
      </c>
      <c r="D36" s="385" t="s">
        <v>42</v>
      </c>
      <c r="E36" s="386">
        <v>8</v>
      </c>
      <c r="F36" s="387">
        <v>32.17</v>
      </c>
      <c r="G36" s="409">
        <f>E36*F36</f>
        <v>257.36</v>
      </c>
    </row>
    <row r="37" spans="2:7" s="376" customFormat="1" ht="15.75" x14ac:dyDescent="0.2">
      <c r="B37" s="377" t="s">
        <v>77</v>
      </c>
      <c r="C37" s="398" t="s">
        <v>93</v>
      </c>
      <c r="D37" s="377" t="s">
        <v>13</v>
      </c>
      <c r="E37" s="395"/>
      <c r="F37" s="396"/>
      <c r="G37" s="397">
        <f>SUM(G38,G39,G40)</f>
        <v>569.14499999999998</v>
      </c>
    </row>
    <row r="38" spans="2:7" s="405" customFormat="1" ht="45" x14ac:dyDescent="0.2">
      <c r="B38" s="412" t="s">
        <v>192</v>
      </c>
      <c r="C38" s="402" t="s">
        <v>94</v>
      </c>
      <c r="D38" s="399" t="s">
        <v>13</v>
      </c>
      <c r="E38" s="386">
        <v>1</v>
      </c>
      <c r="F38" s="387">
        <f>167.35*1.5</f>
        <v>251.02499999999998</v>
      </c>
      <c r="G38" s="409">
        <f>E38*F38</f>
        <v>251.02499999999998</v>
      </c>
    </row>
    <row r="39" spans="2:7" s="405" customFormat="1" ht="15" x14ac:dyDescent="0.2">
      <c r="B39" s="385" t="s">
        <v>95</v>
      </c>
      <c r="C39" s="402" t="s">
        <v>193</v>
      </c>
      <c r="D39" s="385" t="s">
        <v>13</v>
      </c>
      <c r="E39" s="386">
        <v>1</v>
      </c>
      <c r="F39" s="387">
        <v>233.94</v>
      </c>
      <c r="G39" s="409">
        <f>E39*F39</f>
        <v>233.94</v>
      </c>
    </row>
    <row r="40" spans="2:7" s="405" customFormat="1" ht="15" x14ac:dyDescent="0.2">
      <c r="B40" s="383">
        <v>90772</v>
      </c>
      <c r="C40" s="413" t="s">
        <v>96</v>
      </c>
      <c r="D40" s="385" t="s">
        <v>30</v>
      </c>
      <c r="E40" s="414">
        <v>6</v>
      </c>
      <c r="F40" s="387">
        <v>14.03</v>
      </c>
      <c r="G40" s="409">
        <f>E40*F40</f>
        <v>84.179999999999993</v>
      </c>
    </row>
    <row r="41" spans="2:7" s="405" customFormat="1" ht="15" x14ac:dyDescent="0.2">
      <c r="C41" s="415"/>
      <c r="F41" s="416"/>
    </row>
    <row r="42" spans="2:7" s="376" customFormat="1" ht="31.5" x14ac:dyDescent="0.25">
      <c r="B42" s="417" t="s">
        <v>85</v>
      </c>
      <c r="C42" s="398" t="s">
        <v>92</v>
      </c>
      <c r="D42" s="377" t="s">
        <v>0</v>
      </c>
      <c r="E42" s="377"/>
      <c r="F42" s="418"/>
      <c r="G42" s="419">
        <f>SUM(G43:G48)</f>
        <v>299.96400000000006</v>
      </c>
    </row>
    <row r="43" spans="2:7" s="405" customFormat="1" ht="30" x14ac:dyDescent="0.2">
      <c r="B43" s="383">
        <v>4417</v>
      </c>
      <c r="C43" s="420" t="s">
        <v>97</v>
      </c>
      <c r="D43" s="385" t="s">
        <v>6</v>
      </c>
      <c r="E43" s="421">
        <v>1</v>
      </c>
      <c r="F43" s="422">
        <v>4.84</v>
      </c>
      <c r="G43" s="423">
        <f t="shared" ref="G43:G48" si="1">E43*F43</f>
        <v>4.84</v>
      </c>
    </row>
    <row r="44" spans="2:7" s="405" customFormat="1" ht="30" x14ac:dyDescent="0.2">
      <c r="B44" s="383">
        <v>4491</v>
      </c>
      <c r="C44" s="420" t="s">
        <v>98</v>
      </c>
      <c r="D44" s="385" t="s">
        <v>6</v>
      </c>
      <c r="E44" s="421">
        <v>4</v>
      </c>
      <c r="F44" s="422">
        <v>8.44</v>
      </c>
      <c r="G44" s="423">
        <f t="shared" si="1"/>
        <v>33.76</v>
      </c>
    </row>
    <row r="45" spans="2:7" s="405" customFormat="1" ht="30" x14ac:dyDescent="0.2">
      <c r="B45" s="383">
        <v>4813</v>
      </c>
      <c r="C45" s="420" t="s">
        <v>99</v>
      </c>
      <c r="D45" s="385" t="s">
        <v>45</v>
      </c>
      <c r="E45" s="421">
        <v>1</v>
      </c>
      <c r="F45" s="422">
        <v>225</v>
      </c>
      <c r="G45" s="423">
        <f t="shared" si="1"/>
        <v>225</v>
      </c>
    </row>
    <row r="46" spans="2:7" s="405" customFormat="1" ht="15" x14ac:dyDescent="0.2">
      <c r="B46" s="383">
        <v>5075</v>
      </c>
      <c r="C46" s="420" t="s">
        <v>100</v>
      </c>
      <c r="D46" s="385" t="s">
        <v>7</v>
      </c>
      <c r="E46" s="421">
        <v>0.11</v>
      </c>
      <c r="F46" s="422">
        <v>23.4</v>
      </c>
      <c r="G46" s="423">
        <f t="shared" si="1"/>
        <v>2.5739999999999998</v>
      </c>
    </row>
    <row r="47" spans="2:7" s="405" customFormat="1" ht="15" x14ac:dyDescent="0.2">
      <c r="B47" s="383">
        <v>88262</v>
      </c>
      <c r="C47" s="420" t="s">
        <v>101</v>
      </c>
      <c r="D47" s="385" t="s">
        <v>30</v>
      </c>
      <c r="E47" s="421">
        <v>1</v>
      </c>
      <c r="F47" s="422">
        <v>18.63</v>
      </c>
      <c r="G47" s="423">
        <f t="shared" si="1"/>
        <v>18.63</v>
      </c>
    </row>
    <row r="48" spans="2:7" s="405" customFormat="1" ht="15" x14ac:dyDescent="0.2">
      <c r="B48" s="383">
        <v>88316</v>
      </c>
      <c r="C48" s="420" t="s">
        <v>39</v>
      </c>
      <c r="D48" s="385" t="s">
        <v>30</v>
      </c>
      <c r="E48" s="421">
        <v>1</v>
      </c>
      <c r="F48" s="422">
        <v>15.16</v>
      </c>
      <c r="G48" s="423">
        <f t="shared" si="1"/>
        <v>15.16</v>
      </c>
    </row>
    <row r="49" spans="2:7" s="376" customFormat="1" ht="15.75" x14ac:dyDescent="0.25">
      <c r="B49" s="417" t="s">
        <v>86</v>
      </c>
      <c r="C49" s="398" t="s">
        <v>108</v>
      </c>
      <c r="D49" s="377" t="s">
        <v>0</v>
      </c>
      <c r="E49" s="377"/>
      <c r="F49" s="418"/>
      <c r="G49" s="419">
        <f>SUM(G50,G51,G52,G53)</f>
        <v>59.034599999999998</v>
      </c>
    </row>
    <row r="50" spans="2:7" s="405" customFormat="1" ht="45" x14ac:dyDescent="0.2">
      <c r="B50" s="383">
        <v>87270</v>
      </c>
      <c r="C50" s="420" t="s">
        <v>110</v>
      </c>
      <c r="D50" s="385" t="s">
        <v>45</v>
      </c>
      <c r="E50" s="421">
        <v>0.43</v>
      </c>
      <c r="F50" s="422">
        <v>63.44</v>
      </c>
      <c r="G50" s="424">
        <f>E50*F50</f>
        <v>27.279199999999999</v>
      </c>
    </row>
    <row r="51" spans="2:7" s="405" customFormat="1" ht="15" x14ac:dyDescent="0.2">
      <c r="B51" s="408">
        <v>88256</v>
      </c>
      <c r="C51" s="420" t="s">
        <v>112</v>
      </c>
      <c r="D51" s="385" t="s">
        <v>30</v>
      </c>
      <c r="E51" s="421">
        <v>0.5</v>
      </c>
      <c r="F51" s="422">
        <v>18.79</v>
      </c>
      <c r="G51" s="423">
        <f>E51*F51</f>
        <v>9.3949999999999996</v>
      </c>
    </row>
    <row r="52" spans="2:7" s="405" customFormat="1" ht="15" x14ac:dyDescent="0.2">
      <c r="B52" s="383">
        <v>88316</v>
      </c>
      <c r="C52" s="420" t="s">
        <v>39</v>
      </c>
      <c r="D52" s="385" t="s">
        <v>30</v>
      </c>
      <c r="E52" s="421">
        <v>0.44</v>
      </c>
      <c r="F52" s="422">
        <v>15.16</v>
      </c>
      <c r="G52" s="423">
        <f>E52*F52</f>
        <v>6.6703999999999999</v>
      </c>
    </row>
    <row r="53" spans="2:7" s="405" customFormat="1" ht="30" x14ac:dyDescent="0.2">
      <c r="B53" s="383">
        <v>97633</v>
      </c>
      <c r="C53" s="420" t="s">
        <v>156</v>
      </c>
      <c r="D53" s="385" t="s">
        <v>45</v>
      </c>
      <c r="E53" s="421">
        <v>1</v>
      </c>
      <c r="F53" s="422">
        <v>15.69</v>
      </c>
      <c r="G53" s="423">
        <f>E53*F53</f>
        <v>15.69</v>
      </c>
    </row>
    <row r="54" spans="2:7" s="376" customFormat="1" ht="15.75" x14ac:dyDescent="0.25">
      <c r="B54" s="417" t="s">
        <v>87</v>
      </c>
      <c r="C54" s="398" t="s">
        <v>109</v>
      </c>
      <c r="D54" s="377" t="s">
        <v>0</v>
      </c>
      <c r="E54" s="377"/>
      <c r="F54" s="418"/>
      <c r="G54" s="419">
        <f>SUM(G55,G56,G57,G58)</f>
        <v>29.540500000000002</v>
      </c>
    </row>
    <row r="55" spans="2:7" s="405" customFormat="1" ht="45" x14ac:dyDescent="0.2">
      <c r="B55" s="383">
        <v>87270</v>
      </c>
      <c r="C55" s="420" t="s">
        <v>110</v>
      </c>
      <c r="D55" s="385" t="s">
        <v>45</v>
      </c>
      <c r="E55" s="421">
        <v>0.15</v>
      </c>
      <c r="F55" s="422">
        <v>63.44</v>
      </c>
      <c r="G55" s="424">
        <f>E55*F55</f>
        <v>9.516</v>
      </c>
    </row>
    <row r="56" spans="2:7" s="405" customFormat="1" ht="15" x14ac:dyDescent="0.2">
      <c r="B56" s="408" t="s">
        <v>111</v>
      </c>
      <c r="C56" s="420" t="s">
        <v>112</v>
      </c>
      <c r="D56" s="385" t="s">
        <v>30</v>
      </c>
      <c r="E56" s="421">
        <v>0.15</v>
      </c>
      <c r="F56" s="422">
        <v>18.79</v>
      </c>
      <c r="G56" s="423">
        <f>E56*F56</f>
        <v>2.8184999999999998</v>
      </c>
    </row>
    <row r="57" spans="2:7" s="405" customFormat="1" ht="30" x14ac:dyDescent="0.2">
      <c r="B57" s="383">
        <v>97633</v>
      </c>
      <c r="C57" s="420" t="s">
        <v>156</v>
      </c>
      <c r="D57" s="385" t="s">
        <v>45</v>
      </c>
      <c r="E57" s="421">
        <v>1</v>
      </c>
      <c r="F57" s="422">
        <v>15.69</v>
      </c>
      <c r="G57" s="423">
        <f>E57*F57</f>
        <v>15.69</v>
      </c>
    </row>
    <row r="58" spans="2:7" s="405" customFormat="1" ht="15" x14ac:dyDescent="0.2">
      <c r="B58" s="383">
        <v>88316</v>
      </c>
      <c r="C58" s="420" t="s">
        <v>39</v>
      </c>
      <c r="D58" s="385" t="s">
        <v>30</v>
      </c>
      <c r="E58" s="421">
        <v>0.1</v>
      </c>
      <c r="F58" s="422">
        <v>15.16</v>
      </c>
      <c r="G58" s="423">
        <f>E58*F58</f>
        <v>1.516</v>
      </c>
    </row>
    <row r="59" spans="2:7" s="376" customFormat="1" ht="15.75" x14ac:dyDescent="0.25">
      <c r="B59" s="417" t="s">
        <v>102</v>
      </c>
      <c r="C59" s="398" t="s">
        <v>114</v>
      </c>
      <c r="D59" s="377" t="s">
        <v>0</v>
      </c>
      <c r="E59" s="377"/>
      <c r="F59" s="418"/>
      <c r="G59" s="419">
        <f>SUM(G60,G61,G62,G63)</f>
        <v>32.314999999999998</v>
      </c>
    </row>
    <row r="60" spans="2:7" s="405" customFormat="1" ht="30" x14ac:dyDescent="0.2">
      <c r="B60" s="383">
        <v>87251</v>
      </c>
      <c r="C60" s="420" t="s">
        <v>115</v>
      </c>
      <c r="D60" s="385" t="s">
        <v>45</v>
      </c>
      <c r="E60" s="421">
        <v>0.2</v>
      </c>
      <c r="F60" s="422">
        <v>43.57</v>
      </c>
      <c r="G60" s="424">
        <f>E60*F60</f>
        <v>8.7140000000000004</v>
      </c>
    </row>
    <row r="61" spans="2:7" s="405" customFormat="1" ht="15" x14ac:dyDescent="0.2">
      <c r="B61" s="408" t="s">
        <v>111</v>
      </c>
      <c r="C61" s="420" t="s">
        <v>112</v>
      </c>
      <c r="D61" s="385" t="s">
        <v>30</v>
      </c>
      <c r="E61" s="421">
        <v>0.3</v>
      </c>
      <c r="F61" s="422">
        <v>18.79</v>
      </c>
      <c r="G61" s="423">
        <f>E61*F61</f>
        <v>5.6369999999999996</v>
      </c>
    </row>
    <row r="62" spans="2:7" s="405" customFormat="1" ht="15" x14ac:dyDescent="0.2">
      <c r="B62" s="383">
        <v>88316</v>
      </c>
      <c r="C62" s="420" t="s">
        <v>39</v>
      </c>
      <c r="D62" s="385" t="s">
        <v>30</v>
      </c>
      <c r="E62" s="421">
        <v>0.15</v>
      </c>
      <c r="F62" s="422">
        <v>15.16</v>
      </c>
      <c r="G62" s="423">
        <f>E62*F62</f>
        <v>2.274</v>
      </c>
    </row>
    <row r="63" spans="2:7" s="405" customFormat="1" ht="30" x14ac:dyDescent="0.2">
      <c r="B63" s="383">
        <v>97633</v>
      </c>
      <c r="C63" s="420" t="s">
        <v>156</v>
      </c>
      <c r="D63" s="385" t="s">
        <v>45</v>
      </c>
      <c r="E63" s="421">
        <v>1</v>
      </c>
      <c r="F63" s="422">
        <v>15.69</v>
      </c>
      <c r="G63" s="423">
        <f>E63*F63</f>
        <v>15.69</v>
      </c>
    </row>
    <row r="64" spans="2:7" s="376" customFormat="1" ht="15.75" x14ac:dyDescent="0.25">
      <c r="B64" s="417" t="s">
        <v>103</v>
      </c>
      <c r="C64" s="398" t="s">
        <v>118</v>
      </c>
      <c r="D64" s="377" t="s">
        <v>6</v>
      </c>
      <c r="E64" s="377"/>
      <c r="F64" s="418"/>
      <c r="G64" s="419">
        <f>SUM(G65:G68)</f>
        <v>18.863500000000002</v>
      </c>
    </row>
    <row r="65" spans="2:7" s="405" customFormat="1" ht="30" x14ac:dyDescent="0.2">
      <c r="B65" s="383">
        <v>157</v>
      </c>
      <c r="C65" s="420" t="s">
        <v>200</v>
      </c>
      <c r="D65" s="385" t="s">
        <v>79</v>
      </c>
      <c r="E65" s="421">
        <v>0.1</v>
      </c>
      <c r="F65" s="422">
        <v>113.03</v>
      </c>
      <c r="G65" s="423">
        <f>E65*F65</f>
        <v>11.303000000000001</v>
      </c>
    </row>
    <row r="66" spans="2:7" s="405" customFormat="1" ht="30" x14ac:dyDescent="0.2">
      <c r="B66" s="425">
        <v>371</v>
      </c>
      <c r="C66" s="420" t="s">
        <v>119</v>
      </c>
      <c r="D66" s="385" t="s">
        <v>79</v>
      </c>
      <c r="E66" s="426">
        <v>0.85</v>
      </c>
      <c r="F66" s="422">
        <v>0.89</v>
      </c>
      <c r="G66" s="423">
        <f>E66*F66</f>
        <v>0.75649999999999995</v>
      </c>
    </row>
    <row r="67" spans="2:7" s="405" customFormat="1" ht="15" x14ac:dyDescent="0.2">
      <c r="B67" s="383">
        <v>88316</v>
      </c>
      <c r="C67" s="420" t="s">
        <v>39</v>
      </c>
      <c r="D67" s="385" t="s">
        <v>30</v>
      </c>
      <c r="E67" s="421">
        <v>0.2</v>
      </c>
      <c r="F67" s="422">
        <v>15.16</v>
      </c>
      <c r="G67" s="423">
        <f>E67*F67</f>
        <v>3.032</v>
      </c>
    </row>
    <row r="68" spans="2:7" s="405" customFormat="1" ht="15" x14ac:dyDescent="0.2">
      <c r="B68" s="383">
        <v>88309</v>
      </c>
      <c r="C68" s="420" t="s">
        <v>120</v>
      </c>
      <c r="D68" s="385" t="s">
        <v>30</v>
      </c>
      <c r="E68" s="421">
        <v>0.2</v>
      </c>
      <c r="F68" s="422">
        <v>18.86</v>
      </c>
      <c r="G68" s="423">
        <f>E68*F68</f>
        <v>3.7720000000000002</v>
      </c>
    </row>
    <row r="69" spans="2:7" s="376" customFormat="1" ht="15" customHeight="1" x14ac:dyDescent="0.2">
      <c r="B69" s="377" t="s">
        <v>134</v>
      </c>
      <c r="C69" s="398" t="s">
        <v>129</v>
      </c>
      <c r="D69" s="417" t="s">
        <v>0</v>
      </c>
      <c r="E69" s="395"/>
      <c r="F69" s="396"/>
      <c r="G69" s="397">
        <f>SUM(G70:G73)</f>
        <v>4.1399999999999997</v>
      </c>
    </row>
    <row r="70" spans="2:7" s="405" customFormat="1" ht="15" x14ac:dyDescent="0.2">
      <c r="B70" s="383">
        <v>99803</v>
      </c>
      <c r="C70" s="402" t="s">
        <v>130</v>
      </c>
      <c r="D70" s="385" t="s">
        <v>45</v>
      </c>
      <c r="E70" s="392">
        <v>1</v>
      </c>
      <c r="F70" s="388">
        <v>1.47</v>
      </c>
      <c r="G70" s="388">
        <f>F70*E70</f>
        <v>1.47</v>
      </c>
    </row>
    <row r="71" spans="2:7" s="405" customFormat="1" ht="15" x14ac:dyDescent="0.2">
      <c r="B71" s="383">
        <v>99806</v>
      </c>
      <c r="C71" s="402" t="s">
        <v>131</v>
      </c>
      <c r="D71" s="385" t="s">
        <v>45</v>
      </c>
      <c r="E71" s="392">
        <v>1</v>
      </c>
      <c r="F71" s="388">
        <v>0.6</v>
      </c>
      <c r="G71" s="388">
        <f>F71*E71</f>
        <v>0.6</v>
      </c>
    </row>
    <row r="72" spans="2:7" s="405" customFormat="1" ht="15" x14ac:dyDescent="0.2">
      <c r="B72" s="383">
        <v>99814</v>
      </c>
      <c r="C72" s="402" t="s">
        <v>132</v>
      </c>
      <c r="D72" s="385" t="s">
        <v>45</v>
      </c>
      <c r="E72" s="392">
        <v>1</v>
      </c>
      <c r="F72" s="388">
        <v>1.36</v>
      </c>
      <c r="G72" s="388">
        <f>F72*E72</f>
        <v>1.36</v>
      </c>
    </row>
    <row r="73" spans="2:7" s="405" customFormat="1" ht="15" x14ac:dyDescent="0.2">
      <c r="B73" s="383">
        <v>99822</v>
      </c>
      <c r="C73" s="402" t="s">
        <v>133</v>
      </c>
      <c r="D73" s="385" t="s">
        <v>45</v>
      </c>
      <c r="E73" s="392">
        <v>1</v>
      </c>
      <c r="F73" s="388">
        <v>0.71</v>
      </c>
      <c r="G73" s="388">
        <f>F73*E73</f>
        <v>0.71</v>
      </c>
    </row>
    <row r="74" spans="2:7" s="376" customFormat="1" ht="15" customHeight="1" x14ac:dyDescent="0.2">
      <c r="B74" s="377" t="s">
        <v>128</v>
      </c>
      <c r="C74" s="398" t="s">
        <v>137</v>
      </c>
      <c r="D74" s="417" t="s">
        <v>0</v>
      </c>
      <c r="E74" s="395"/>
      <c r="F74" s="396"/>
      <c r="G74" s="397">
        <f>SUM(G75:G78)</f>
        <v>70.186000000000007</v>
      </c>
    </row>
    <row r="75" spans="2:7" s="405" customFormat="1" ht="15" x14ac:dyDescent="0.2">
      <c r="B75" s="427">
        <v>142</v>
      </c>
      <c r="C75" s="402" t="s">
        <v>138</v>
      </c>
      <c r="D75" s="385" t="s">
        <v>34</v>
      </c>
      <c r="E75" s="392">
        <v>0.3</v>
      </c>
      <c r="F75" s="387">
        <v>26.04</v>
      </c>
      <c r="G75" s="388">
        <f>F75*E75</f>
        <v>7.8119999999999994</v>
      </c>
    </row>
    <row r="76" spans="2:7" s="405" customFormat="1" ht="15" x14ac:dyDescent="0.2">
      <c r="B76" s="385">
        <v>88315</v>
      </c>
      <c r="C76" s="402" t="s">
        <v>139</v>
      </c>
      <c r="D76" s="385" t="s">
        <v>30</v>
      </c>
      <c r="E76" s="392">
        <v>0.2</v>
      </c>
      <c r="F76" s="388">
        <v>18.75</v>
      </c>
      <c r="G76" s="388">
        <f>F76*E76</f>
        <v>3.75</v>
      </c>
    </row>
    <row r="77" spans="2:7" s="405" customFormat="1" ht="15" x14ac:dyDescent="0.2">
      <c r="B77" s="385" t="s">
        <v>140</v>
      </c>
      <c r="C77" s="402" t="s">
        <v>39</v>
      </c>
      <c r="D77" s="385" t="s">
        <v>30</v>
      </c>
      <c r="E77" s="392">
        <v>0.15</v>
      </c>
      <c r="F77" s="388">
        <v>15.16</v>
      </c>
      <c r="G77" s="388">
        <f>F77*E77</f>
        <v>2.274</v>
      </c>
    </row>
    <row r="78" spans="2:7" s="405" customFormat="1" ht="15" x14ac:dyDescent="0.2">
      <c r="B78" s="383" t="s">
        <v>141</v>
      </c>
      <c r="C78" s="402" t="s">
        <v>142</v>
      </c>
      <c r="D78" s="385" t="s">
        <v>0</v>
      </c>
      <c r="E78" s="392">
        <v>3.5</v>
      </c>
      <c r="F78" s="388">
        <v>16.100000000000001</v>
      </c>
      <c r="G78" s="388">
        <f>F78*E78</f>
        <v>56.350000000000009</v>
      </c>
    </row>
  </sheetData>
  <mergeCells count="4">
    <mergeCell ref="B3:E3"/>
    <mergeCell ref="B2:E2"/>
    <mergeCell ref="F2:G2"/>
    <mergeCell ref="F3:G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70"/>
  <sheetViews>
    <sheetView zoomScale="80" zoomScaleNormal="80" workbookViewId="0">
      <selection activeCell="L7" sqref="L7"/>
    </sheetView>
  </sheetViews>
  <sheetFormatPr defaultColWidth="9.140625" defaultRowHeight="15" x14ac:dyDescent="0.25"/>
  <cols>
    <col min="1" max="1" width="4.85546875" style="1" customWidth="1"/>
    <col min="2" max="2" width="7.140625" style="2" customWidth="1"/>
    <col min="3" max="3" width="20.140625" style="2" hidden="1" customWidth="1"/>
    <col min="4" max="4" width="88.85546875" style="3" customWidth="1"/>
    <col min="5" max="5" width="5.7109375" style="2" customWidth="1"/>
    <col min="6" max="6" width="9.140625" style="2" customWidth="1"/>
    <col min="7" max="7" width="15.28515625" style="144" hidden="1" customWidth="1"/>
    <col min="8" max="8" width="17.5703125" style="112" hidden="1" customWidth="1"/>
    <col min="9" max="9" width="22.5703125" style="4" customWidth="1"/>
    <col min="10" max="10" width="1.140625" style="1" customWidth="1"/>
    <col min="11" max="11" width="21.85546875" style="2" customWidth="1"/>
    <col min="12" max="16384" width="9.140625" style="2"/>
  </cols>
  <sheetData>
    <row r="1" spans="1:34" ht="15.75" thickBot="1" x14ac:dyDescent="0.3"/>
    <row r="2" spans="1:34" ht="21" x14ac:dyDescent="0.25">
      <c r="B2" s="461" t="s">
        <v>106</v>
      </c>
      <c r="C2" s="462"/>
      <c r="D2" s="462"/>
      <c r="E2" s="462"/>
      <c r="F2" s="462"/>
      <c r="G2" s="462"/>
      <c r="H2" s="113"/>
      <c r="I2" s="467" t="s">
        <v>18</v>
      </c>
      <c r="J2" s="469"/>
    </row>
    <row r="3" spans="1:34" ht="23.25" customHeight="1" thickBot="1" x14ac:dyDescent="0.3">
      <c r="B3" s="463"/>
      <c r="C3" s="464"/>
      <c r="D3" s="464"/>
      <c r="E3" s="464"/>
      <c r="F3" s="464"/>
      <c r="G3" s="464"/>
      <c r="H3" s="114"/>
      <c r="I3" s="468"/>
      <c r="J3" s="469"/>
    </row>
    <row r="4" spans="1:34" ht="15" customHeight="1" x14ac:dyDescent="0.25">
      <c r="B4" s="463"/>
      <c r="C4" s="464"/>
      <c r="D4" s="464"/>
      <c r="E4" s="464"/>
      <c r="F4" s="464"/>
      <c r="G4" s="464"/>
      <c r="H4" s="114"/>
      <c r="I4" s="470" t="s">
        <v>203</v>
      </c>
      <c r="J4" s="5">
        <v>0.24510000000000001</v>
      </c>
    </row>
    <row r="5" spans="1:34" ht="33" customHeight="1" thickBot="1" x14ac:dyDescent="0.3">
      <c r="B5" s="465"/>
      <c r="C5" s="466"/>
      <c r="D5" s="466"/>
      <c r="E5" s="466"/>
      <c r="F5" s="466"/>
      <c r="G5" s="466"/>
      <c r="H5" s="115"/>
      <c r="I5" s="471"/>
      <c r="J5" s="6"/>
    </row>
    <row r="6" spans="1:34" ht="6" customHeight="1" thickBot="1" x14ac:dyDescent="0.3">
      <c r="B6" s="1"/>
      <c r="C6" s="1"/>
      <c r="D6" s="7"/>
      <c r="E6" s="8"/>
      <c r="F6" s="8"/>
      <c r="G6" s="145"/>
      <c r="H6" s="116"/>
      <c r="I6" s="9"/>
    </row>
    <row r="7" spans="1:34" ht="54" customHeight="1" thickBot="1" x14ac:dyDescent="0.3">
      <c r="B7" s="20" t="s">
        <v>2</v>
      </c>
      <c r="C7" s="20" t="s">
        <v>8</v>
      </c>
      <c r="D7" s="21" t="s">
        <v>3</v>
      </c>
      <c r="E7" s="22" t="s">
        <v>4</v>
      </c>
      <c r="F7" s="22" t="s">
        <v>56</v>
      </c>
      <c r="G7" s="117" t="s">
        <v>61</v>
      </c>
      <c r="H7" s="117" t="s">
        <v>241</v>
      </c>
      <c r="I7" s="23" t="s">
        <v>5</v>
      </c>
      <c r="J7" s="10"/>
    </row>
    <row r="8" spans="1:34" ht="15.75" x14ac:dyDescent="0.3">
      <c r="B8" s="11">
        <v>1</v>
      </c>
      <c r="C8" s="16"/>
      <c r="D8" s="26" t="s">
        <v>51</v>
      </c>
      <c r="E8" s="18"/>
      <c r="F8" s="18"/>
      <c r="G8" s="137"/>
      <c r="H8" s="118"/>
      <c r="I8" s="27"/>
    </row>
    <row r="9" spans="1:34" s="1" customFormat="1" x14ac:dyDescent="0.25">
      <c r="B9" s="57" t="s">
        <v>63</v>
      </c>
      <c r="C9" s="76">
        <v>90777</v>
      </c>
      <c r="D9" s="89" t="s">
        <v>52</v>
      </c>
      <c r="E9" s="79" t="s">
        <v>30</v>
      </c>
      <c r="F9" s="12">
        <v>24</v>
      </c>
      <c r="G9" s="80">
        <v>81.02</v>
      </c>
      <c r="H9" s="119">
        <f>G9*1.2835</f>
        <v>103.98917</v>
      </c>
      <c r="I9" s="74">
        <f>TRUNC(H9*F9,2)</f>
        <v>2495.7399999999998</v>
      </c>
    </row>
    <row r="10" spans="1:34" s="1" customFormat="1" x14ac:dyDescent="0.25">
      <c r="B10" s="57" t="s">
        <v>64</v>
      </c>
      <c r="C10" s="90" t="s">
        <v>58</v>
      </c>
      <c r="D10" s="91" t="s">
        <v>57</v>
      </c>
      <c r="E10" s="79" t="s">
        <v>30</v>
      </c>
      <c r="F10" s="12">
        <v>120</v>
      </c>
      <c r="G10" s="80">
        <v>20.72</v>
      </c>
      <c r="H10" s="119">
        <f>G10*1.2835</f>
        <v>26.59412</v>
      </c>
      <c r="I10" s="74">
        <f>TRUNC(H10*F10,2)</f>
        <v>3191.29</v>
      </c>
    </row>
    <row r="11" spans="1:34" s="40" customFormat="1" ht="15.75" x14ac:dyDescent="0.25">
      <c r="A11" s="1"/>
      <c r="B11" s="41"/>
      <c r="C11" s="42"/>
      <c r="D11" s="43"/>
      <c r="E11" s="44"/>
      <c r="F11" s="38"/>
      <c r="G11" s="138" t="s">
        <v>1</v>
      </c>
      <c r="H11" s="120"/>
      <c r="I11" s="13">
        <f>TRUNC(SUM(I9:I10),2)</f>
        <v>5687.03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s="1" customFormat="1" ht="15.75" x14ac:dyDescent="0.25">
      <c r="B12" s="57"/>
      <c r="C12" s="49"/>
      <c r="D12" s="50"/>
      <c r="E12" s="51"/>
      <c r="F12" s="33"/>
      <c r="G12" s="147"/>
      <c r="H12" s="121"/>
      <c r="I12" s="52"/>
    </row>
    <row r="13" spans="1:34" ht="15.75" x14ac:dyDescent="0.3">
      <c r="A13" s="2"/>
      <c r="B13" s="94">
        <v>2</v>
      </c>
      <c r="C13" s="95"/>
      <c r="D13" s="93" t="s">
        <v>104</v>
      </c>
      <c r="E13" s="96"/>
      <c r="F13" s="95"/>
      <c r="G13" s="134"/>
      <c r="H13" s="122"/>
      <c r="I13" s="97"/>
      <c r="J13" s="2"/>
    </row>
    <row r="14" spans="1:34" s="70" customFormat="1" ht="17.25" customHeight="1" x14ac:dyDescent="0.25">
      <c r="B14" s="79" t="s">
        <v>65</v>
      </c>
      <c r="C14" s="84" t="s">
        <v>78</v>
      </c>
      <c r="D14" s="85" t="s">
        <v>91</v>
      </c>
      <c r="E14" s="86" t="s">
        <v>31</v>
      </c>
      <c r="F14" s="87">
        <v>1</v>
      </c>
      <c r="G14" s="80">
        <f>Composições!G37</f>
        <v>569.14499999999998</v>
      </c>
      <c r="H14" s="80">
        <f>G14*1.2835</f>
        <v>730.49760750000007</v>
      </c>
      <c r="I14" s="74">
        <f>TRUNC(H14*F14,2)</f>
        <v>730.49</v>
      </c>
    </row>
    <row r="15" spans="1:34" s="70" customFormat="1" ht="27" x14ac:dyDescent="0.25">
      <c r="B15" s="79" t="s">
        <v>88</v>
      </c>
      <c r="C15" s="76" t="s">
        <v>126</v>
      </c>
      <c r="D15" s="85" t="s">
        <v>92</v>
      </c>
      <c r="E15" s="76" t="s">
        <v>0</v>
      </c>
      <c r="F15" s="88">
        <v>1</v>
      </c>
      <c r="G15" s="80">
        <f>Composições!G42</f>
        <v>299.96400000000006</v>
      </c>
      <c r="H15" s="80">
        <f t="shared" ref="H15:H16" si="0">G15*1.2835</f>
        <v>385.00379400000008</v>
      </c>
      <c r="I15" s="74">
        <f t="shared" ref="I15:I16" si="1">TRUNC(H15*F15,2)</f>
        <v>385</v>
      </c>
    </row>
    <row r="16" spans="1:34" s="70" customFormat="1" ht="15" customHeight="1" x14ac:dyDescent="0.25">
      <c r="B16" s="79" t="s">
        <v>143</v>
      </c>
      <c r="C16" s="76" t="s">
        <v>89</v>
      </c>
      <c r="D16" s="85" t="s">
        <v>90</v>
      </c>
      <c r="E16" s="76" t="s">
        <v>31</v>
      </c>
      <c r="F16" s="88">
        <v>2</v>
      </c>
      <c r="G16" s="80">
        <v>280</v>
      </c>
      <c r="H16" s="80">
        <f t="shared" si="0"/>
        <v>359.38</v>
      </c>
      <c r="I16" s="74">
        <f t="shared" si="1"/>
        <v>718.76</v>
      </c>
    </row>
    <row r="17" spans="1:34" s="67" customFormat="1" ht="15" customHeight="1" x14ac:dyDescent="0.25">
      <c r="B17" s="69"/>
      <c r="C17" s="58"/>
      <c r="D17" s="59"/>
      <c r="E17" s="60"/>
      <c r="F17" s="61"/>
      <c r="G17" s="138" t="s">
        <v>1</v>
      </c>
      <c r="H17" s="123"/>
      <c r="I17" s="13">
        <f>TRUNC(SUM(I14:I16),2)</f>
        <v>1834.25</v>
      </c>
    </row>
    <row r="18" spans="1:34" s="67" customFormat="1" ht="15" customHeight="1" x14ac:dyDescent="0.25">
      <c r="B18" s="68"/>
      <c r="C18" s="62"/>
      <c r="D18" s="63"/>
      <c r="E18" s="64"/>
      <c r="F18" s="65"/>
      <c r="G18" s="148"/>
      <c r="H18" s="124"/>
      <c r="I18" s="66"/>
    </row>
    <row r="19" spans="1:34" ht="15.75" x14ac:dyDescent="0.3">
      <c r="B19" s="11">
        <v>3</v>
      </c>
      <c r="C19" s="16"/>
      <c r="D19" s="26" t="s">
        <v>80</v>
      </c>
      <c r="E19" s="18"/>
      <c r="F19" s="18"/>
      <c r="G19" s="146"/>
      <c r="H19" s="118"/>
      <c r="I19" s="2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70" customFormat="1" x14ac:dyDescent="0.25">
      <c r="B20" s="76" t="s">
        <v>66</v>
      </c>
      <c r="C20" s="79" t="s">
        <v>125</v>
      </c>
      <c r="D20" s="75" t="s">
        <v>81</v>
      </c>
      <c r="E20" s="79" t="s">
        <v>31</v>
      </c>
      <c r="F20" s="82">
        <v>1</v>
      </c>
      <c r="G20" s="80">
        <f>Composições!G29</f>
        <v>576.92000000000007</v>
      </c>
      <c r="H20" s="125">
        <f>G20*1.2835</f>
        <v>740.47682000000009</v>
      </c>
      <c r="I20" s="74">
        <f t="shared" ref="I20:I21" si="2">TRUNC(H20*F20,2)</f>
        <v>740.47</v>
      </c>
    </row>
    <row r="21" spans="1:34" s="70" customFormat="1" x14ac:dyDescent="0.25">
      <c r="B21" s="76" t="s">
        <v>62</v>
      </c>
      <c r="C21" s="83" t="s">
        <v>59</v>
      </c>
      <c r="D21" s="75" t="s">
        <v>84</v>
      </c>
      <c r="E21" s="79" t="s">
        <v>31</v>
      </c>
      <c r="F21" s="82">
        <v>1</v>
      </c>
      <c r="G21" s="80">
        <f>Composições!G33</f>
        <v>784.76</v>
      </c>
      <c r="H21" s="125">
        <f>G21*1.2835</f>
        <v>1007.23946</v>
      </c>
      <c r="I21" s="74">
        <f t="shared" si="2"/>
        <v>1007.23</v>
      </c>
    </row>
    <row r="22" spans="1:34" s="73" customFormat="1" ht="15.75" x14ac:dyDescent="0.25">
      <c r="A22" s="70"/>
      <c r="B22" s="71"/>
      <c r="C22" s="42"/>
      <c r="D22" s="47"/>
      <c r="E22" s="48"/>
      <c r="F22" s="72"/>
      <c r="G22" s="139" t="s">
        <v>1</v>
      </c>
      <c r="H22" s="126"/>
      <c r="I22" s="13">
        <f>TRUNC(SUM(I20:I21),2)</f>
        <v>1747.7</v>
      </c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</row>
    <row r="23" spans="1:34" s="1" customFormat="1" ht="15.75" x14ac:dyDescent="0.25">
      <c r="B23" s="57"/>
      <c r="C23" s="49"/>
      <c r="D23" s="53"/>
      <c r="E23" s="54"/>
      <c r="F23" s="55"/>
      <c r="G23" s="149"/>
      <c r="H23" s="127"/>
      <c r="I23" s="56"/>
    </row>
    <row r="24" spans="1:34" ht="15.75" x14ac:dyDescent="0.3">
      <c r="B24" s="11">
        <v>4</v>
      </c>
      <c r="C24" s="16"/>
      <c r="D24" s="46" t="s">
        <v>9</v>
      </c>
      <c r="E24" s="45"/>
      <c r="F24" s="45"/>
      <c r="G24" s="150"/>
      <c r="H24" s="128"/>
      <c r="I24" s="39"/>
    </row>
    <row r="25" spans="1:34" s="70" customFormat="1" x14ac:dyDescent="0.25">
      <c r="B25" s="76" t="s">
        <v>67</v>
      </c>
      <c r="C25" s="77" t="s">
        <v>124</v>
      </c>
      <c r="D25" s="78" t="s">
        <v>76</v>
      </c>
      <c r="E25" s="79" t="s">
        <v>6</v>
      </c>
      <c r="F25" s="82">
        <v>22.4</v>
      </c>
      <c r="G25" s="80">
        <f>Composições!G26</f>
        <v>2.871</v>
      </c>
      <c r="H25" s="125">
        <f>G25*1.2835</f>
        <v>3.6849285000000003</v>
      </c>
      <c r="I25" s="74">
        <f t="shared" ref="I25:I35" si="3">TRUNC(H25*F25,2)</f>
        <v>82.54</v>
      </c>
    </row>
    <row r="26" spans="1:34" s="70" customFormat="1" ht="27" x14ac:dyDescent="0.25">
      <c r="B26" s="76" t="s">
        <v>116</v>
      </c>
      <c r="C26" s="77">
        <v>97647</v>
      </c>
      <c r="D26" s="75" t="s">
        <v>54</v>
      </c>
      <c r="E26" s="79" t="s">
        <v>0</v>
      </c>
      <c r="F26" s="82">
        <v>280.83999999999997</v>
      </c>
      <c r="G26" s="80">
        <v>2.4500000000000002</v>
      </c>
      <c r="H26" s="125">
        <f t="shared" ref="H26:H35" si="4">G26*1.2835</f>
        <v>3.1445750000000006</v>
      </c>
      <c r="I26" s="74">
        <f t="shared" si="3"/>
        <v>883.12</v>
      </c>
    </row>
    <row r="27" spans="1:34" s="70" customFormat="1" ht="27" x14ac:dyDescent="0.25">
      <c r="B27" s="76" t="s">
        <v>117</v>
      </c>
      <c r="C27" s="83">
        <v>97640</v>
      </c>
      <c r="D27" s="75" t="s">
        <v>53</v>
      </c>
      <c r="E27" s="79" t="s">
        <v>0</v>
      </c>
      <c r="F27" s="82">
        <v>223.89</v>
      </c>
      <c r="G27" s="80">
        <v>1.1100000000000001</v>
      </c>
      <c r="H27" s="125">
        <f t="shared" si="4"/>
        <v>1.4246850000000002</v>
      </c>
      <c r="I27" s="74">
        <f t="shared" si="3"/>
        <v>318.97000000000003</v>
      </c>
    </row>
    <row r="28" spans="1:34" s="70" customFormat="1" ht="27" x14ac:dyDescent="0.25">
      <c r="B28" s="76" t="s">
        <v>144</v>
      </c>
      <c r="C28" s="79">
        <v>97650</v>
      </c>
      <c r="D28" s="75" t="s">
        <v>164</v>
      </c>
      <c r="E28" s="79" t="s">
        <v>0</v>
      </c>
      <c r="F28" s="82">
        <v>280.83999999999997</v>
      </c>
      <c r="G28" s="80">
        <v>5.27</v>
      </c>
      <c r="H28" s="125">
        <f t="shared" si="4"/>
        <v>6.7640450000000003</v>
      </c>
      <c r="I28" s="74">
        <f t="shared" si="3"/>
        <v>1899.61</v>
      </c>
    </row>
    <row r="29" spans="1:34" s="70" customFormat="1" ht="27" x14ac:dyDescent="0.25">
      <c r="B29" s="76" t="s">
        <v>145</v>
      </c>
      <c r="C29" s="79">
        <v>97651</v>
      </c>
      <c r="D29" s="75" t="s">
        <v>165</v>
      </c>
      <c r="E29" s="79" t="s">
        <v>0</v>
      </c>
      <c r="F29" s="82">
        <v>6</v>
      </c>
      <c r="G29" s="80">
        <v>58.34</v>
      </c>
      <c r="H29" s="125">
        <f t="shared" si="4"/>
        <v>74.879390000000015</v>
      </c>
      <c r="I29" s="74">
        <f t="shared" si="3"/>
        <v>449.27</v>
      </c>
    </row>
    <row r="30" spans="1:34" s="70" customFormat="1" ht="27" x14ac:dyDescent="0.25">
      <c r="B30" s="76" t="s">
        <v>146</v>
      </c>
      <c r="C30" s="77">
        <v>94218</v>
      </c>
      <c r="D30" s="81" t="s">
        <v>163</v>
      </c>
      <c r="E30" s="79" t="s">
        <v>13</v>
      </c>
      <c r="F30" s="82">
        <v>280.83999999999997</v>
      </c>
      <c r="G30" s="80">
        <v>119.64</v>
      </c>
      <c r="H30" s="125">
        <f t="shared" si="4"/>
        <v>153.55794</v>
      </c>
      <c r="I30" s="74">
        <f t="shared" si="3"/>
        <v>43125.21</v>
      </c>
    </row>
    <row r="31" spans="1:34" s="70" customFormat="1" ht="33" customHeight="1" x14ac:dyDescent="0.25">
      <c r="B31" s="76" t="s">
        <v>147</v>
      </c>
      <c r="C31" s="76">
        <v>94228</v>
      </c>
      <c r="D31" s="98" t="s">
        <v>19</v>
      </c>
      <c r="E31" s="76" t="s">
        <v>6</v>
      </c>
      <c r="F31" s="82">
        <v>22.4</v>
      </c>
      <c r="G31" s="140">
        <v>92.93</v>
      </c>
      <c r="H31" s="125">
        <f t="shared" si="4"/>
        <v>119.27565500000001</v>
      </c>
      <c r="I31" s="74">
        <f t="shared" si="3"/>
        <v>2671.77</v>
      </c>
    </row>
    <row r="32" spans="1:34" s="70" customFormat="1" ht="27" x14ac:dyDescent="0.25">
      <c r="B32" s="76" t="s">
        <v>148</v>
      </c>
      <c r="C32" s="76">
        <v>94231</v>
      </c>
      <c r="D32" s="98" t="s">
        <v>20</v>
      </c>
      <c r="E32" s="76" t="s">
        <v>6</v>
      </c>
      <c r="F32" s="82">
        <v>22.4</v>
      </c>
      <c r="G32" s="140">
        <v>54.26</v>
      </c>
      <c r="H32" s="125">
        <f t="shared" si="4"/>
        <v>69.642710000000008</v>
      </c>
      <c r="I32" s="74">
        <f t="shared" si="3"/>
        <v>1559.99</v>
      </c>
    </row>
    <row r="33" spans="2:9" s="70" customFormat="1" x14ac:dyDescent="0.25">
      <c r="B33" s="76" t="s">
        <v>149</v>
      </c>
      <c r="C33" s="76" t="s">
        <v>43</v>
      </c>
      <c r="D33" s="99" t="s">
        <v>24</v>
      </c>
      <c r="E33" s="76" t="s">
        <v>0</v>
      </c>
      <c r="F33" s="82">
        <v>20.100000000000001</v>
      </c>
      <c r="G33" s="140">
        <f>Composições!G5</f>
        <v>55.62</v>
      </c>
      <c r="H33" s="125">
        <f t="shared" si="4"/>
        <v>71.388270000000006</v>
      </c>
      <c r="I33" s="74">
        <f t="shared" si="3"/>
        <v>1434.9</v>
      </c>
    </row>
    <row r="34" spans="2:9" s="70" customFormat="1" ht="40.5" x14ac:dyDescent="0.25">
      <c r="B34" s="76" t="s">
        <v>204</v>
      </c>
      <c r="C34" s="83">
        <v>92602</v>
      </c>
      <c r="D34" s="100" t="s">
        <v>122</v>
      </c>
      <c r="E34" s="101" t="s">
        <v>13</v>
      </c>
      <c r="F34" s="102">
        <v>6</v>
      </c>
      <c r="G34" s="141">
        <v>779.68</v>
      </c>
      <c r="H34" s="125">
        <f t="shared" si="4"/>
        <v>1000.71928</v>
      </c>
      <c r="I34" s="74">
        <f t="shared" si="3"/>
        <v>6004.31</v>
      </c>
    </row>
    <row r="35" spans="2:9" s="70" customFormat="1" ht="27" x14ac:dyDescent="0.25">
      <c r="B35" s="76" t="s">
        <v>205</v>
      </c>
      <c r="C35" s="79">
        <v>96114</v>
      </c>
      <c r="D35" s="100" t="s">
        <v>123</v>
      </c>
      <c r="E35" s="101" t="s">
        <v>0</v>
      </c>
      <c r="F35" s="102">
        <v>223.89</v>
      </c>
      <c r="G35" s="141">
        <v>66.8</v>
      </c>
      <c r="H35" s="125">
        <f t="shared" si="4"/>
        <v>85.737800000000007</v>
      </c>
      <c r="I35" s="74">
        <f t="shared" si="3"/>
        <v>19195.830000000002</v>
      </c>
    </row>
    <row r="36" spans="2:9" ht="15.75" x14ac:dyDescent="0.25">
      <c r="B36" s="15"/>
      <c r="C36" s="14"/>
      <c r="D36" s="14"/>
      <c r="E36" s="14"/>
      <c r="F36" s="14"/>
      <c r="G36" s="138" t="s">
        <v>1</v>
      </c>
      <c r="H36" s="129"/>
      <c r="I36" s="13">
        <f>TRUNC(SUM(I25:I35),2)</f>
        <v>77625.52</v>
      </c>
    </row>
    <row r="37" spans="2:9" ht="15.75" x14ac:dyDescent="0.25">
      <c r="B37" s="34"/>
      <c r="C37" s="17"/>
      <c r="D37" s="17"/>
      <c r="E37" s="17"/>
      <c r="F37" s="17"/>
      <c r="G37" s="151"/>
      <c r="H37" s="130"/>
      <c r="I37" s="32"/>
    </row>
    <row r="38" spans="2:9" ht="15.75" x14ac:dyDescent="0.3">
      <c r="B38" s="24">
        <v>5</v>
      </c>
      <c r="C38" s="25"/>
      <c r="D38" s="28" t="s">
        <v>107</v>
      </c>
      <c r="E38" s="28"/>
      <c r="F38" s="28"/>
      <c r="G38" s="152"/>
      <c r="H38" s="131"/>
      <c r="I38" s="19"/>
    </row>
    <row r="39" spans="2:9" s="70" customFormat="1" x14ac:dyDescent="0.25">
      <c r="B39" s="76" t="s">
        <v>68</v>
      </c>
      <c r="C39" s="76" t="s">
        <v>86</v>
      </c>
      <c r="D39" s="78" t="s">
        <v>108</v>
      </c>
      <c r="E39" s="76" t="s">
        <v>0</v>
      </c>
      <c r="F39" s="82">
        <v>2</v>
      </c>
      <c r="G39" s="140">
        <f>Composições!G49</f>
        <v>59.034599999999998</v>
      </c>
      <c r="H39" s="125">
        <f>G39*1.2835</f>
        <v>75.770909099999997</v>
      </c>
      <c r="I39" s="74">
        <f t="shared" ref="I39:I44" si="5">TRUNC(H39*F39,2)</f>
        <v>151.54</v>
      </c>
    </row>
    <row r="40" spans="2:9" s="70" customFormat="1" x14ac:dyDescent="0.25">
      <c r="B40" s="76" t="s">
        <v>69</v>
      </c>
      <c r="C40" s="76" t="s">
        <v>87</v>
      </c>
      <c r="D40" s="78" t="s">
        <v>109</v>
      </c>
      <c r="E40" s="76" t="s">
        <v>0</v>
      </c>
      <c r="F40" s="82">
        <v>0.02</v>
      </c>
      <c r="G40" s="140">
        <f>Composições!G54</f>
        <v>29.540500000000002</v>
      </c>
      <c r="H40" s="125">
        <f t="shared" ref="H40:H44" si="6">G40*1.2835</f>
        <v>37.915231750000004</v>
      </c>
      <c r="I40" s="74">
        <f t="shared" si="5"/>
        <v>0.75</v>
      </c>
    </row>
    <row r="41" spans="2:9" s="70" customFormat="1" x14ac:dyDescent="0.25">
      <c r="B41" s="76" t="s">
        <v>150</v>
      </c>
      <c r="C41" s="76" t="s">
        <v>102</v>
      </c>
      <c r="D41" s="78" t="s">
        <v>114</v>
      </c>
      <c r="E41" s="76" t="s">
        <v>0</v>
      </c>
      <c r="F41" s="82">
        <v>0.5</v>
      </c>
      <c r="G41" s="140">
        <f>Composições!G59</f>
        <v>32.314999999999998</v>
      </c>
      <c r="H41" s="125">
        <f t="shared" si="6"/>
        <v>41.476302500000003</v>
      </c>
      <c r="I41" s="74">
        <f t="shared" si="5"/>
        <v>20.73</v>
      </c>
    </row>
    <row r="42" spans="2:9" s="70" customFormat="1" x14ac:dyDescent="0.25">
      <c r="B42" s="76" t="s">
        <v>155</v>
      </c>
      <c r="C42" s="76">
        <v>97631</v>
      </c>
      <c r="D42" s="78" t="s">
        <v>157</v>
      </c>
      <c r="E42" s="76" t="s">
        <v>0</v>
      </c>
      <c r="F42" s="82">
        <v>61.56</v>
      </c>
      <c r="G42" s="140">
        <v>2.29</v>
      </c>
      <c r="H42" s="125">
        <f t="shared" si="6"/>
        <v>2.9392150000000004</v>
      </c>
      <c r="I42" s="74">
        <f t="shared" si="5"/>
        <v>180.93</v>
      </c>
    </row>
    <row r="43" spans="2:9" s="70" customFormat="1" ht="54" x14ac:dyDescent="0.25">
      <c r="B43" s="76" t="s">
        <v>158</v>
      </c>
      <c r="C43" s="76">
        <v>87527</v>
      </c>
      <c r="D43" s="78" t="s">
        <v>206</v>
      </c>
      <c r="E43" s="76" t="s">
        <v>0</v>
      </c>
      <c r="F43" s="82">
        <v>61.56</v>
      </c>
      <c r="G43" s="140">
        <v>30.09</v>
      </c>
      <c r="H43" s="125">
        <f t="shared" si="6"/>
        <v>38.620515000000005</v>
      </c>
      <c r="I43" s="74">
        <f t="shared" si="5"/>
        <v>2377.4699999999998</v>
      </c>
    </row>
    <row r="44" spans="2:9" s="70" customFormat="1" ht="27" x14ac:dyDescent="0.25">
      <c r="B44" s="76" t="s">
        <v>160</v>
      </c>
      <c r="C44" s="76">
        <v>123</v>
      </c>
      <c r="D44" s="78" t="s">
        <v>159</v>
      </c>
      <c r="E44" s="76" t="s">
        <v>47</v>
      </c>
      <c r="F44" s="82">
        <v>2.5</v>
      </c>
      <c r="G44" s="140">
        <v>5.43</v>
      </c>
      <c r="H44" s="125">
        <f t="shared" si="6"/>
        <v>6.9694050000000001</v>
      </c>
      <c r="I44" s="74">
        <f t="shared" si="5"/>
        <v>17.420000000000002</v>
      </c>
    </row>
    <row r="45" spans="2:9" ht="15.75" x14ac:dyDescent="0.25">
      <c r="B45" s="35"/>
      <c r="C45" s="36"/>
      <c r="D45" s="37"/>
      <c r="E45" s="36"/>
      <c r="F45" s="38"/>
      <c r="G45" s="138" t="s">
        <v>1</v>
      </c>
      <c r="H45" s="132"/>
      <c r="I45" s="13">
        <f>TRUNC(SUM(I39:I44),2)</f>
        <v>2748.84</v>
      </c>
    </row>
    <row r="46" spans="2:9" ht="15.75" x14ac:dyDescent="0.25">
      <c r="B46" s="34"/>
      <c r="C46" s="17"/>
      <c r="D46" s="17"/>
      <c r="E46" s="17"/>
      <c r="F46" s="17"/>
      <c r="G46" s="151"/>
      <c r="H46" s="130"/>
      <c r="I46" s="32"/>
    </row>
    <row r="47" spans="2:9" ht="15.75" x14ac:dyDescent="0.3">
      <c r="B47" s="16">
        <v>6</v>
      </c>
      <c r="C47" s="29"/>
      <c r="D47" s="18" t="s">
        <v>121</v>
      </c>
      <c r="E47" s="18"/>
      <c r="F47" s="18"/>
      <c r="G47" s="135"/>
      <c r="H47" s="133"/>
      <c r="I47" s="19"/>
    </row>
    <row r="48" spans="2:9" s="70" customFormat="1" x14ac:dyDescent="0.25">
      <c r="B48" s="103" t="s">
        <v>70</v>
      </c>
      <c r="C48" s="103" t="s">
        <v>105</v>
      </c>
      <c r="D48" s="104" t="s">
        <v>60</v>
      </c>
      <c r="E48" s="101" t="s">
        <v>0</v>
      </c>
      <c r="F48" s="105">
        <v>696.69</v>
      </c>
      <c r="G48" s="142">
        <f>Composições!G23</f>
        <v>4.7460000000000004</v>
      </c>
      <c r="H48" s="125">
        <f>G48*1.2835</f>
        <v>6.0914910000000013</v>
      </c>
      <c r="I48" s="74">
        <f t="shared" ref="I48:I56" si="7">TRUNC(H48*F48,2)</f>
        <v>4243.88</v>
      </c>
    </row>
    <row r="49" spans="2:9" s="70" customFormat="1" x14ac:dyDescent="0.25">
      <c r="B49" s="103" t="s">
        <v>71</v>
      </c>
      <c r="C49" s="103">
        <v>88485</v>
      </c>
      <c r="D49" s="104" t="s">
        <v>21</v>
      </c>
      <c r="E49" s="101" t="s">
        <v>0</v>
      </c>
      <c r="F49" s="105">
        <v>696.69</v>
      </c>
      <c r="G49" s="142">
        <v>1.64</v>
      </c>
      <c r="H49" s="125">
        <f t="shared" ref="H49:H56" si="8">G49*1.2835</f>
        <v>2.10494</v>
      </c>
      <c r="I49" s="74">
        <f t="shared" si="7"/>
        <v>1466.49</v>
      </c>
    </row>
    <row r="50" spans="2:9" s="70" customFormat="1" x14ac:dyDescent="0.25">
      <c r="B50" s="103" t="s">
        <v>151</v>
      </c>
      <c r="C50" s="76">
        <v>88497</v>
      </c>
      <c r="D50" s="98" t="s">
        <v>22</v>
      </c>
      <c r="E50" s="101" t="s">
        <v>0</v>
      </c>
      <c r="F50" s="82">
        <v>455.33</v>
      </c>
      <c r="G50" s="140">
        <v>12.1</v>
      </c>
      <c r="H50" s="125">
        <f t="shared" si="8"/>
        <v>15.53035</v>
      </c>
      <c r="I50" s="74">
        <f t="shared" si="7"/>
        <v>7071.43</v>
      </c>
    </row>
    <row r="51" spans="2:9" s="70" customFormat="1" x14ac:dyDescent="0.25">
      <c r="B51" s="103" t="s">
        <v>72</v>
      </c>
      <c r="C51" s="76">
        <v>95305</v>
      </c>
      <c r="D51" s="78" t="s">
        <v>23</v>
      </c>
      <c r="E51" s="76" t="s">
        <v>0</v>
      </c>
      <c r="F51" s="82">
        <v>241.36</v>
      </c>
      <c r="G51" s="80">
        <v>10.73</v>
      </c>
      <c r="H51" s="125">
        <f t="shared" si="8"/>
        <v>13.771955000000002</v>
      </c>
      <c r="I51" s="74">
        <f t="shared" si="7"/>
        <v>3323.99</v>
      </c>
    </row>
    <row r="52" spans="2:9" s="70" customFormat="1" x14ac:dyDescent="0.25">
      <c r="B52" s="103" t="s">
        <v>73</v>
      </c>
      <c r="C52" s="76">
        <v>88496</v>
      </c>
      <c r="D52" s="78" t="s">
        <v>188</v>
      </c>
      <c r="E52" s="76" t="s">
        <v>0</v>
      </c>
      <c r="F52" s="82">
        <v>223.89</v>
      </c>
      <c r="G52" s="80">
        <v>21.29</v>
      </c>
      <c r="H52" s="125">
        <f t="shared" si="8"/>
        <v>27.325715000000002</v>
      </c>
      <c r="I52" s="74">
        <f t="shared" si="7"/>
        <v>6117.95</v>
      </c>
    </row>
    <row r="53" spans="2:9" s="70" customFormat="1" ht="27" x14ac:dyDescent="0.25">
      <c r="B53" s="103" t="s">
        <v>74</v>
      </c>
      <c r="C53" s="76">
        <v>88488</v>
      </c>
      <c r="D53" s="78" t="s">
        <v>189</v>
      </c>
      <c r="E53" s="76" t="s">
        <v>0</v>
      </c>
      <c r="F53" s="82">
        <v>223.89</v>
      </c>
      <c r="G53" s="80">
        <v>13.42</v>
      </c>
      <c r="H53" s="125">
        <f t="shared" si="8"/>
        <v>17.22457</v>
      </c>
      <c r="I53" s="74">
        <f t="shared" si="7"/>
        <v>3856.4</v>
      </c>
    </row>
    <row r="54" spans="2:9" s="70" customFormat="1" ht="27" x14ac:dyDescent="0.25">
      <c r="B54" s="103" t="s">
        <v>152</v>
      </c>
      <c r="C54" s="76" t="s">
        <v>44</v>
      </c>
      <c r="D54" s="78" t="s">
        <v>17</v>
      </c>
      <c r="E54" s="76" t="s">
        <v>0</v>
      </c>
      <c r="F54" s="82">
        <v>455.33</v>
      </c>
      <c r="G54" s="140">
        <f>Composições!G15</f>
        <v>26.740000000000002</v>
      </c>
      <c r="H54" s="125">
        <f>G54*1.2835</f>
        <v>34.320790000000002</v>
      </c>
      <c r="I54" s="74">
        <f t="shared" si="7"/>
        <v>15627.28</v>
      </c>
    </row>
    <row r="55" spans="2:9" s="70" customFormat="1" ht="27" x14ac:dyDescent="0.25">
      <c r="B55" s="103" t="s">
        <v>190</v>
      </c>
      <c r="C55" s="76" t="s">
        <v>127</v>
      </c>
      <c r="D55" s="106" t="s">
        <v>49</v>
      </c>
      <c r="E55" s="76" t="s">
        <v>0</v>
      </c>
      <c r="F55" s="82">
        <v>241.36</v>
      </c>
      <c r="G55" s="140">
        <f>Composições!G19</f>
        <v>11.739000000000001</v>
      </c>
      <c r="H55" s="125">
        <f t="shared" si="8"/>
        <v>15.067006500000002</v>
      </c>
      <c r="I55" s="74">
        <f t="shared" si="7"/>
        <v>3636.57</v>
      </c>
    </row>
    <row r="56" spans="2:9" s="70" customFormat="1" x14ac:dyDescent="0.25">
      <c r="B56" s="103" t="s">
        <v>191</v>
      </c>
      <c r="C56" s="76" t="s">
        <v>103</v>
      </c>
      <c r="D56" s="106" t="s">
        <v>118</v>
      </c>
      <c r="E56" s="76" t="s">
        <v>6</v>
      </c>
      <c r="F56" s="82">
        <v>30</v>
      </c>
      <c r="G56" s="140">
        <f>Composições!G64</f>
        <v>18.863500000000002</v>
      </c>
      <c r="H56" s="125">
        <f t="shared" si="8"/>
        <v>24.211302250000003</v>
      </c>
      <c r="I56" s="74">
        <f t="shared" si="7"/>
        <v>726.33</v>
      </c>
    </row>
    <row r="57" spans="2:9" ht="15.75" x14ac:dyDescent="0.25">
      <c r="B57" s="15"/>
      <c r="C57" s="14"/>
      <c r="D57" s="14"/>
      <c r="E57" s="14"/>
      <c r="F57" s="14"/>
      <c r="G57" s="143" t="s">
        <v>1</v>
      </c>
      <c r="H57" s="129"/>
      <c r="I57" s="13">
        <f>TRUNC(SUM(I48:I56),2)</f>
        <v>46070.32</v>
      </c>
    </row>
    <row r="58" spans="2:9" s="1" customFormat="1" ht="15.75" x14ac:dyDescent="0.25">
      <c r="B58" s="34"/>
      <c r="C58" s="17"/>
      <c r="D58" s="17"/>
      <c r="E58" s="17"/>
      <c r="F58" s="17"/>
      <c r="G58" s="153"/>
      <c r="H58" s="130"/>
      <c r="I58" s="52"/>
    </row>
    <row r="59" spans="2:9" ht="15.75" x14ac:dyDescent="0.3">
      <c r="B59" s="24">
        <v>7</v>
      </c>
      <c r="C59" s="25"/>
      <c r="D59" s="28" t="s">
        <v>135</v>
      </c>
      <c r="E59" s="28"/>
      <c r="F59" s="28"/>
      <c r="G59" s="152"/>
      <c r="H59" s="131"/>
      <c r="I59" s="19"/>
    </row>
    <row r="60" spans="2:9" s="70" customFormat="1" x14ac:dyDescent="0.25">
      <c r="B60" s="76" t="s">
        <v>153</v>
      </c>
      <c r="C60" s="76" t="s">
        <v>134</v>
      </c>
      <c r="D60" s="78" t="s">
        <v>129</v>
      </c>
      <c r="E60" s="76" t="s">
        <v>0</v>
      </c>
      <c r="F60" s="82">
        <v>223.89</v>
      </c>
      <c r="G60" s="140">
        <f>Composições!G69</f>
        <v>4.1399999999999997</v>
      </c>
      <c r="H60" s="125">
        <f t="shared" ref="H60:H62" si="9">G60*1.2835</f>
        <v>5.3136900000000002</v>
      </c>
      <c r="I60" s="74">
        <f t="shared" ref="I60:I62" si="10">TRUNC(H60*F60,2)</f>
        <v>1189.68</v>
      </c>
    </row>
    <row r="61" spans="2:9" s="70" customFormat="1" ht="27" x14ac:dyDescent="0.25">
      <c r="B61" s="76" t="s">
        <v>154</v>
      </c>
      <c r="C61" s="76">
        <v>98546</v>
      </c>
      <c r="D61" s="78" t="s">
        <v>161</v>
      </c>
      <c r="E61" s="76" t="s">
        <v>0</v>
      </c>
      <c r="F61" s="82">
        <v>8</v>
      </c>
      <c r="G61" s="140">
        <v>93.94</v>
      </c>
      <c r="H61" s="125">
        <f t="shared" si="9"/>
        <v>120.57199</v>
      </c>
      <c r="I61" s="74">
        <f t="shared" si="10"/>
        <v>964.57</v>
      </c>
    </row>
    <row r="62" spans="2:9" s="70" customFormat="1" x14ac:dyDescent="0.25">
      <c r="B62" s="76" t="s">
        <v>162</v>
      </c>
      <c r="C62" s="76" t="s">
        <v>128</v>
      </c>
      <c r="D62" s="78" t="s">
        <v>136</v>
      </c>
      <c r="E62" s="76" t="s">
        <v>0</v>
      </c>
      <c r="F62" s="82">
        <v>25</v>
      </c>
      <c r="G62" s="140">
        <f>Composições!G74</f>
        <v>70.186000000000007</v>
      </c>
      <c r="H62" s="125">
        <f t="shared" si="9"/>
        <v>90.083731000000014</v>
      </c>
      <c r="I62" s="74">
        <f t="shared" si="10"/>
        <v>2252.09</v>
      </c>
    </row>
    <row r="63" spans="2:9" ht="15.75" x14ac:dyDescent="0.25">
      <c r="B63" s="35"/>
      <c r="C63" s="36"/>
      <c r="D63" s="37"/>
      <c r="E63" s="36"/>
      <c r="F63" s="38"/>
      <c r="G63" s="138" t="s">
        <v>1</v>
      </c>
      <c r="H63" s="132"/>
      <c r="I63" s="13">
        <f>TRUNC(SUM(I60:I62),2)</f>
        <v>4406.34</v>
      </c>
    </row>
    <row r="64" spans="2:9" x14ac:dyDescent="0.25">
      <c r="G64" s="136"/>
    </row>
    <row r="65" spans="2:9" ht="15.75" x14ac:dyDescent="0.25">
      <c r="B65" s="35"/>
      <c r="C65" s="36"/>
      <c r="D65" s="37"/>
      <c r="E65" s="36"/>
      <c r="F65" s="38"/>
      <c r="G65" s="138" t="s">
        <v>179</v>
      </c>
      <c r="H65" s="132"/>
      <c r="I65" s="13">
        <f>TRUNC(SUM(I63,I57,I45,I36,I22,I17,I11),2)</f>
        <v>140120</v>
      </c>
    </row>
    <row r="68" spans="2:9" x14ac:dyDescent="0.25">
      <c r="I68" s="31"/>
    </row>
    <row r="70" spans="2:9" x14ac:dyDescent="0.25">
      <c r="F70" s="30"/>
    </row>
  </sheetData>
  <mergeCells count="4">
    <mergeCell ref="B2:G5"/>
    <mergeCell ref="I2:I3"/>
    <mergeCell ref="J2:J3"/>
    <mergeCell ref="I4:I5"/>
  </mergeCells>
  <printOptions horizontalCentered="1" verticalCentered="1"/>
  <pageMargins left="0.25" right="0.25" top="0.75" bottom="0.75" header="0.3" footer="0.3"/>
  <pageSetup paperSize="9" scale="78" fitToHeight="0" orientation="landscape" r:id="rId1"/>
  <headerFooter scaleWithDoc="0"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9"/>
  <sheetViews>
    <sheetView workbookViewId="0">
      <selection activeCell="L9" sqref="L9"/>
    </sheetView>
  </sheetViews>
  <sheetFormatPr defaultRowHeight="15" x14ac:dyDescent="0.25"/>
  <cols>
    <col min="1" max="1" width="3" customWidth="1"/>
    <col min="5" max="5" width="13.42578125" customWidth="1"/>
    <col min="10" max="10" width="9.7109375" customWidth="1"/>
    <col min="12" max="12" width="10" customWidth="1"/>
    <col min="13" max="13" width="14.140625" customWidth="1"/>
  </cols>
  <sheetData>
    <row r="2" spans="2:13" s="92" customFormat="1" x14ac:dyDescent="0.25">
      <c r="B2" s="472" t="s">
        <v>178</v>
      </c>
      <c r="C2" s="472"/>
      <c r="D2" s="472"/>
      <c r="E2" s="472"/>
      <c r="G2" s="472" t="s">
        <v>180</v>
      </c>
      <c r="H2" s="472"/>
      <c r="I2" s="472"/>
      <c r="J2" s="472"/>
      <c r="L2" s="472" t="s">
        <v>194</v>
      </c>
      <c r="M2" s="472"/>
    </row>
    <row r="3" spans="2:13" s="92" customFormat="1" x14ac:dyDescent="0.25">
      <c r="B3" s="107" t="s">
        <v>166</v>
      </c>
      <c r="C3" s="107" t="s">
        <v>168</v>
      </c>
      <c r="D3" s="107" t="s">
        <v>169</v>
      </c>
      <c r="E3" s="107" t="s">
        <v>170</v>
      </c>
      <c r="G3" s="107" t="s">
        <v>166</v>
      </c>
      <c r="H3" s="107" t="s">
        <v>168</v>
      </c>
      <c r="I3" s="107" t="s">
        <v>169</v>
      </c>
      <c r="J3" s="107" t="s">
        <v>170</v>
      </c>
      <c r="L3" s="107" t="s">
        <v>195</v>
      </c>
      <c r="M3" s="107">
        <v>153.9</v>
      </c>
    </row>
    <row r="4" spans="2:13" s="92" customFormat="1" x14ac:dyDescent="0.25">
      <c r="B4" s="107" t="s">
        <v>167</v>
      </c>
      <c r="C4" s="107">
        <f>20*3.5</f>
        <v>70</v>
      </c>
      <c r="D4" s="107">
        <f>2.4*3</f>
        <v>7.1999999999999993</v>
      </c>
      <c r="E4" s="107">
        <f>C4-D4</f>
        <v>62.8</v>
      </c>
      <c r="G4" s="107" t="s">
        <v>167</v>
      </c>
      <c r="H4" s="107">
        <f>18.7*3.5</f>
        <v>65.45</v>
      </c>
      <c r="I4" s="107">
        <v>7.2</v>
      </c>
      <c r="J4" s="107">
        <f>H4-I4</f>
        <v>58.25</v>
      </c>
      <c r="L4" s="107" t="s">
        <v>30</v>
      </c>
      <c r="M4" s="107">
        <v>0.4</v>
      </c>
    </row>
    <row r="5" spans="2:13" s="92" customFormat="1" x14ac:dyDescent="0.25">
      <c r="B5" s="107" t="s">
        <v>171</v>
      </c>
      <c r="C5" s="107">
        <f>12*3.5</f>
        <v>42</v>
      </c>
      <c r="D5" s="107">
        <v>0</v>
      </c>
      <c r="E5" s="107">
        <f>C5-D5</f>
        <v>42</v>
      </c>
      <c r="G5" s="107" t="s">
        <v>171</v>
      </c>
      <c r="H5" s="107">
        <f>11.7*3.5</f>
        <v>40.949999999999996</v>
      </c>
      <c r="I5" s="107">
        <v>0</v>
      </c>
      <c r="J5" s="107">
        <f>H5-I5</f>
        <v>40.949999999999996</v>
      </c>
      <c r="L5" s="107" t="s">
        <v>196</v>
      </c>
      <c r="M5" s="107">
        <f>M3*M4</f>
        <v>61.56</v>
      </c>
    </row>
    <row r="6" spans="2:13" s="92" customFormat="1" x14ac:dyDescent="0.25">
      <c r="B6" s="107" t="s">
        <v>172</v>
      </c>
      <c r="C6" s="107">
        <f>20*3.5</f>
        <v>70</v>
      </c>
      <c r="D6" s="107">
        <v>14.84</v>
      </c>
      <c r="E6" s="107">
        <f t="shared" ref="E6:E9" si="0">C6-D6</f>
        <v>55.16</v>
      </c>
      <c r="G6" s="107" t="s">
        <v>172</v>
      </c>
      <c r="H6" s="107">
        <f>18.7*3.5</f>
        <v>65.45</v>
      </c>
      <c r="I6" s="107">
        <v>14.84</v>
      </c>
      <c r="J6" s="107">
        <f t="shared" ref="J6:J18" si="1">H6-I6</f>
        <v>50.61</v>
      </c>
    </row>
    <row r="7" spans="2:13" s="92" customFormat="1" x14ac:dyDescent="0.25">
      <c r="B7" s="107" t="s">
        <v>173</v>
      </c>
      <c r="C7" s="107">
        <f>13.6*3.5</f>
        <v>47.6</v>
      </c>
      <c r="D7" s="107">
        <v>7.4</v>
      </c>
      <c r="E7" s="107">
        <f t="shared" si="0"/>
        <v>40.200000000000003</v>
      </c>
      <c r="G7" s="107" t="s">
        <v>173</v>
      </c>
      <c r="H7" s="107">
        <f>11.7*3.5</f>
        <v>40.949999999999996</v>
      </c>
      <c r="I7" s="107">
        <v>7.4</v>
      </c>
      <c r="J7" s="107">
        <f t="shared" si="1"/>
        <v>33.549999999999997</v>
      </c>
    </row>
    <row r="8" spans="2:13" s="92" customFormat="1" x14ac:dyDescent="0.25">
      <c r="B8" s="107" t="s">
        <v>174</v>
      </c>
      <c r="C8" s="107">
        <f>13.6*2</f>
        <v>27.2</v>
      </c>
      <c r="D8" s="107">
        <v>0</v>
      </c>
      <c r="E8" s="107">
        <f t="shared" si="0"/>
        <v>27.2</v>
      </c>
      <c r="G8" s="473" t="s">
        <v>174</v>
      </c>
      <c r="H8" s="107">
        <f>5*3.1</f>
        <v>15.5</v>
      </c>
      <c r="I8" s="107">
        <f>2.1*0.9</f>
        <v>1.8900000000000001</v>
      </c>
      <c r="J8" s="107">
        <f t="shared" si="1"/>
        <v>13.61</v>
      </c>
    </row>
    <row r="9" spans="2:13" s="92" customFormat="1" ht="15.75" thickBot="1" x14ac:dyDescent="0.3">
      <c r="B9" s="108" t="s">
        <v>175</v>
      </c>
      <c r="C9" s="108">
        <f>7*2</f>
        <v>14</v>
      </c>
      <c r="D9" s="108">
        <v>0</v>
      </c>
      <c r="E9" s="108">
        <f t="shared" si="0"/>
        <v>14</v>
      </c>
      <c r="G9" s="475"/>
      <c r="H9" s="107">
        <f>5*3.1</f>
        <v>15.5</v>
      </c>
      <c r="I9" s="107">
        <f>2.1*0.9</f>
        <v>1.8900000000000001</v>
      </c>
      <c r="J9" s="107">
        <f t="shared" si="1"/>
        <v>13.61</v>
      </c>
    </row>
    <row r="10" spans="2:13" s="92" customFormat="1" ht="15.75" thickBot="1" x14ac:dyDescent="0.3">
      <c r="B10" s="109" t="s">
        <v>179</v>
      </c>
      <c r="C10" s="110"/>
      <c r="D10" s="110"/>
      <c r="E10" s="111">
        <f>SUM(E4:E9)</f>
        <v>241.35999999999996</v>
      </c>
      <c r="G10" s="473" t="s">
        <v>176</v>
      </c>
      <c r="H10" s="107">
        <f>1.27*3.1</f>
        <v>3.9370000000000003</v>
      </c>
      <c r="I10" s="107">
        <v>0</v>
      </c>
      <c r="J10" s="107">
        <f t="shared" si="1"/>
        <v>3.9370000000000003</v>
      </c>
    </row>
    <row r="11" spans="2:13" s="92" customFormat="1" ht="15.75" thickBot="1" x14ac:dyDescent="0.3">
      <c r="G11" s="475"/>
      <c r="H11" s="107">
        <f>1.27*3.1</f>
        <v>3.9370000000000003</v>
      </c>
      <c r="I11" s="107">
        <v>0</v>
      </c>
      <c r="J11" s="107">
        <f t="shared" si="1"/>
        <v>3.9370000000000003</v>
      </c>
    </row>
    <row r="12" spans="2:13" s="92" customFormat="1" ht="15.75" thickBot="1" x14ac:dyDescent="0.3">
      <c r="B12" s="109" t="s">
        <v>186</v>
      </c>
      <c r="C12" s="111">
        <f>SUM(E10,J24)</f>
        <v>696.68399999999997</v>
      </c>
      <c r="G12" s="473" t="s">
        <v>177</v>
      </c>
      <c r="H12" s="107">
        <f>5*3.1</f>
        <v>15.5</v>
      </c>
      <c r="I12" s="107">
        <v>3.78</v>
      </c>
      <c r="J12" s="107">
        <f t="shared" si="1"/>
        <v>11.72</v>
      </c>
    </row>
    <row r="13" spans="2:13" s="92" customFormat="1" ht="15.75" thickBot="1" x14ac:dyDescent="0.3">
      <c r="G13" s="475"/>
      <c r="H13" s="107">
        <f>5*3.1</f>
        <v>15.5</v>
      </c>
      <c r="I13" s="107">
        <v>3.78</v>
      </c>
      <c r="J13" s="107">
        <f t="shared" si="1"/>
        <v>11.72</v>
      </c>
    </row>
    <row r="14" spans="2:13" s="92" customFormat="1" ht="15.75" thickBot="1" x14ac:dyDescent="0.3">
      <c r="B14" s="109" t="s">
        <v>187</v>
      </c>
      <c r="C14" s="111">
        <f>19.6+21.65+7.64+7.64+82.48+42.44+42.44</f>
        <v>223.89</v>
      </c>
      <c r="G14" s="473" t="s">
        <v>181</v>
      </c>
      <c r="H14" s="107">
        <f>2.4*3.1</f>
        <v>7.4399999999999995</v>
      </c>
      <c r="I14" s="107">
        <v>0</v>
      </c>
      <c r="J14" s="107">
        <f t="shared" si="1"/>
        <v>7.4399999999999995</v>
      </c>
    </row>
    <row r="15" spans="2:13" s="92" customFormat="1" x14ac:dyDescent="0.25">
      <c r="G15" s="475"/>
      <c r="H15" s="107">
        <f>2.4*3.1</f>
        <v>7.4399999999999995</v>
      </c>
      <c r="I15" s="107">
        <v>0</v>
      </c>
      <c r="J15" s="107">
        <f t="shared" si="1"/>
        <v>7.4399999999999995</v>
      </c>
    </row>
    <row r="16" spans="2:13" s="92" customFormat="1" x14ac:dyDescent="0.25">
      <c r="G16" s="473" t="s">
        <v>182</v>
      </c>
      <c r="H16" s="107">
        <f>7.35*3.1</f>
        <v>22.785</v>
      </c>
      <c r="I16" s="107">
        <v>0</v>
      </c>
      <c r="J16" s="107">
        <f t="shared" si="1"/>
        <v>22.785</v>
      </c>
    </row>
    <row r="17" spans="7:10" s="92" customFormat="1" x14ac:dyDescent="0.25">
      <c r="G17" s="475"/>
      <c r="H17" s="107">
        <f>7.35*3.1</f>
        <v>22.785</v>
      </c>
      <c r="I17" s="107">
        <v>0</v>
      </c>
      <c r="J17" s="107">
        <f t="shared" si="1"/>
        <v>22.785</v>
      </c>
    </row>
    <row r="18" spans="7:10" s="92" customFormat="1" x14ac:dyDescent="0.25">
      <c r="G18" s="473" t="s">
        <v>183</v>
      </c>
      <c r="H18" s="107">
        <f>3.9*3.1</f>
        <v>12.09</v>
      </c>
      <c r="I18" s="107">
        <v>0</v>
      </c>
      <c r="J18" s="107">
        <f t="shared" si="1"/>
        <v>12.09</v>
      </c>
    </row>
    <row r="19" spans="7:10" s="92" customFormat="1" x14ac:dyDescent="0.25">
      <c r="G19" s="475"/>
      <c r="H19" s="107">
        <f>3.9*3.1</f>
        <v>12.09</v>
      </c>
      <c r="I19" s="107">
        <v>0</v>
      </c>
      <c r="J19" s="107">
        <f t="shared" ref="J19:J20" si="2">H19-I19</f>
        <v>12.09</v>
      </c>
    </row>
    <row r="20" spans="7:10" s="92" customFormat="1" x14ac:dyDescent="0.25">
      <c r="G20" s="473" t="s">
        <v>184</v>
      </c>
      <c r="H20" s="107">
        <f>11.7*3.1</f>
        <v>36.269999999999996</v>
      </c>
      <c r="I20" s="107">
        <v>3.36</v>
      </c>
      <c r="J20" s="107">
        <f t="shared" si="2"/>
        <v>32.909999999999997</v>
      </c>
    </row>
    <row r="21" spans="7:10" s="92" customFormat="1" x14ac:dyDescent="0.25">
      <c r="G21" s="475"/>
      <c r="H21" s="107">
        <f>11.7*3.1</f>
        <v>36.269999999999996</v>
      </c>
      <c r="I21" s="107">
        <v>4.3600000000000003</v>
      </c>
      <c r="J21" s="107">
        <f t="shared" ref="J21:J23" si="3">H21-I21</f>
        <v>31.909999999999997</v>
      </c>
    </row>
    <row r="22" spans="7:10" s="92" customFormat="1" x14ac:dyDescent="0.25">
      <c r="G22" s="473" t="s">
        <v>185</v>
      </c>
      <c r="H22" s="107">
        <f>11.7*3.1</f>
        <v>36.269999999999996</v>
      </c>
      <c r="I22" s="107">
        <v>3.78</v>
      </c>
      <c r="J22" s="107">
        <f t="shared" si="3"/>
        <v>32.489999999999995</v>
      </c>
    </row>
    <row r="23" spans="7:10" s="92" customFormat="1" ht="15.75" thickBot="1" x14ac:dyDescent="0.3">
      <c r="G23" s="474"/>
      <c r="H23" s="108">
        <f>11.7*3.1</f>
        <v>36.269999999999996</v>
      </c>
      <c r="I23" s="108">
        <v>4.78</v>
      </c>
      <c r="J23" s="108">
        <f t="shared" si="3"/>
        <v>31.489999999999995</v>
      </c>
    </row>
    <row r="24" spans="7:10" s="92" customFormat="1" ht="15.75" thickBot="1" x14ac:dyDescent="0.3">
      <c r="G24" s="109" t="s">
        <v>179</v>
      </c>
      <c r="H24" s="110"/>
      <c r="I24" s="110"/>
      <c r="J24" s="111">
        <f>SUM(J4:J23)</f>
        <v>455.32400000000007</v>
      </c>
    </row>
    <row r="25" spans="7:10" s="92" customFormat="1" x14ac:dyDescent="0.25"/>
    <row r="26" spans="7:10" s="92" customFormat="1" x14ac:dyDescent="0.25"/>
    <row r="27" spans="7:10" s="92" customFormat="1" x14ac:dyDescent="0.25"/>
    <row r="28" spans="7:10" s="92" customFormat="1" x14ac:dyDescent="0.25"/>
    <row r="29" spans="7:10" s="92" customFormat="1" x14ac:dyDescent="0.25"/>
  </sheetData>
  <mergeCells count="11">
    <mergeCell ref="B2:E2"/>
    <mergeCell ref="G2:J2"/>
    <mergeCell ref="G8:G9"/>
    <mergeCell ref="G10:G11"/>
    <mergeCell ref="G12:G13"/>
    <mergeCell ref="L2:M2"/>
    <mergeCell ref="G22:G23"/>
    <mergeCell ref="G16:G17"/>
    <mergeCell ref="G18:G19"/>
    <mergeCell ref="G20:G21"/>
    <mergeCell ref="G14:G1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20" zoomScaleNormal="120" workbookViewId="0">
      <selection activeCell="B141" sqref="B14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Normal="100" zoomScaleSheetLayoutView="100" workbookViewId="0">
      <selection activeCell="G25" sqref="G25"/>
    </sheetView>
  </sheetViews>
  <sheetFormatPr defaultColWidth="9.140625" defaultRowHeight="12.75" x14ac:dyDescent="0.2"/>
  <cols>
    <col min="1" max="1" width="10.28515625" style="154" customWidth="1"/>
    <col min="2" max="2" width="10.42578125" style="154" customWidth="1"/>
    <col min="3" max="3" width="52.85546875" style="154" customWidth="1"/>
    <col min="4" max="4" width="9.28515625" style="154" customWidth="1"/>
    <col min="5" max="5" width="17.28515625" style="154" customWidth="1"/>
    <col min="6" max="6" width="10.5703125" style="154" customWidth="1"/>
    <col min="7" max="7" width="18" style="154" bestFit="1" customWidth="1"/>
    <col min="8" max="8" width="15.42578125" style="154" customWidth="1"/>
    <col min="9" max="10" width="9.140625" style="154"/>
    <col min="11" max="11" width="15.7109375" style="154" bestFit="1" customWidth="1"/>
    <col min="12" max="16384" width="9.140625" style="154"/>
  </cols>
  <sheetData>
    <row r="1" spans="1:11" ht="15" customHeight="1" x14ac:dyDescent="0.2">
      <c r="A1" s="530" t="s">
        <v>207</v>
      </c>
      <c r="B1" s="531"/>
      <c r="C1" s="531"/>
      <c r="D1" s="531"/>
      <c r="E1" s="531"/>
      <c r="F1" s="531"/>
      <c r="G1" s="532"/>
    </row>
    <row r="2" spans="1:11" ht="15" customHeight="1" x14ac:dyDescent="0.2">
      <c r="A2" s="533"/>
      <c r="B2" s="534"/>
      <c r="C2" s="534"/>
      <c r="D2" s="534"/>
      <c r="E2" s="534"/>
      <c r="F2" s="534"/>
      <c r="G2" s="535"/>
    </row>
    <row r="3" spans="1:11" ht="15" customHeight="1" x14ac:dyDescent="0.2">
      <c r="A3" s="533"/>
      <c r="B3" s="534"/>
      <c r="C3" s="534"/>
      <c r="D3" s="534"/>
      <c r="E3" s="534"/>
      <c r="F3" s="534"/>
      <c r="G3" s="535"/>
    </row>
    <row r="4" spans="1:11" ht="15" customHeight="1" x14ac:dyDescent="0.2">
      <c r="A4" s="533"/>
      <c r="B4" s="534"/>
      <c r="C4" s="534"/>
      <c r="D4" s="534"/>
      <c r="E4" s="534"/>
      <c r="F4" s="534"/>
      <c r="G4" s="535"/>
    </row>
    <row r="5" spans="1:11" ht="15" customHeight="1" thickBot="1" x14ac:dyDescent="0.25">
      <c r="A5" s="536"/>
      <c r="B5" s="537"/>
      <c r="C5" s="537"/>
      <c r="D5" s="537"/>
      <c r="E5" s="537"/>
      <c r="F5" s="537"/>
      <c r="G5" s="538"/>
    </row>
    <row r="6" spans="1:11" ht="15" customHeight="1" thickBot="1" x14ac:dyDescent="0.25">
      <c r="A6" s="155" t="s">
        <v>208</v>
      </c>
      <c r="B6" s="539" t="str">
        <f>[1]RESUMO!B6</f>
        <v>OBRA DO SENAR NOVA CANAÃ DO NORTE</v>
      </c>
      <c r="C6" s="539"/>
      <c r="D6" s="539"/>
      <c r="E6" s="539"/>
      <c r="F6" s="540" t="str">
        <f>[1]RESUMO!C6</f>
        <v>REF.:</v>
      </c>
      <c r="G6" s="541" t="str">
        <f>[1]RESUMO!D6</f>
        <v>SINAPI-MT
DES_ABRIL/2021</v>
      </c>
      <c r="H6" s="156"/>
    </row>
    <row r="7" spans="1:11" ht="15" customHeight="1" thickBot="1" x14ac:dyDescent="0.25">
      <c r="A7" s="155" t="s">
        <v>209</v>
      </c>
      <c r="B7" s="539" t="str">
        <f>[1]RESUMO!B7</f>
        <v>AV. SÃO PAULO ESQ. COM AV. GOVERNADOR DANTE DE OLIVEIRA, N06, Q62</v>
      </c>
      <c r="C7" s="539"/>
      <c r="D7" s="539"/>
      <c r="E7" s="539"/>
      <c r="F7" s="540"/>
      <c r="G7" s="541"/>
      <c r="H7" s="157"/>
    </row>
    <row r="8" spans="1:11" ht="15" customHeight="1" thickBot="1" x14ac:dyDescent="0.25">
      <c r="A8" s="155" t="s">
        <v>210</v>
      </c>
      <c r="B8" s="539" t="str">
        <f>[1]RESUMO!B8</f>
        <v>NOVA CANAÃ DO NORTE - MT</v>
      </c>
      <c r="C8" s="539"/>
      <c r="D8" s="539"/>
      <c r="E8" s="539"/>
      <c r="F8" s="540" t="str">
        <f>[1]RESUMO!C8</f>
        <v>BDI:</v>
      </c>
      <c r="G8" s="542">
        <f>[1]RESUMO!D8</f>
        <v>0.28347674918197008</v>
      </c>
      <c r="H8" s="157"/>
    </row>
    <row r="9" spans="1:11" ht="15" customHeight="1" thickBot="1" x14ac:dyDescent="0.25">
      <c r="A9" s="158" t="s">
        <v>211</v>
      </c>
      <c r="B9" s="539" t="str">
        <f>[1]RESUMO!B9</f>
        <v>OBRA NOVA</v>
      </c>
      <c r="C9" s="539"/>
      <c r="D9" s="539"/>
      <c r="E9" s="539"/>
      <c r="F9" s="540"/>
      <c r="G9" s="540"/>
      <c r="H9" s="157"/>
    </row>
    <row r="10" spans="1:11" ht="30.75" thickBot="1" x14ac:dyDescent="0.3">
      <c r="A10" s="159" t="s">
        <v>212</v>
      </c>
      <c r="B10" s="520" t="s">
        <v>213</v>
      </c>
      <c r="C10" s="521"/>
      <c r="D10" s="521"/>
      <c r="E10" s="521"/>
      <c r="F10" s="522"/>
      <c r="G10" s="160" t="s">
        <v>214</v>
      </c>
    </row>
    <row r="11" spans="1:11" ht="15.75" thickBot="1" x14ac:dyDescent="0.25">
      <c r="A11" s="161" t="s">
        <v>215</v>
      </c>
      <c r="B11" s="507" t="s">
        <v>51</v>
      </c>
      <c r="C11" s="523"/>
      <c r="D11" s="523"/>
      <c r="E11" s="523"/>
      <c r="F11" s="524"/>
      <c r="G11" s="162">
        <f>G12+G13+G14+G15</f>
        <v>7.3</v>
      </c>
      <c r="I11" s="163" t="s">
        <v>216</v>
      </c>
      <c r="J11" s="163" t="s">
        <v>217</v>
      </c>
    </row>
    <row r="12" spans="1:11" ht="13.5" thickBot="1" x14ac:dyDescent="0.25">
      <c r="A12" s="164" t="s">
        <v>63</v>
      </c>
      <c r="B12" s="515" t="s">
        <v>218</v>
      </c>
      <c r="C12" s="525"/>
      <c r="D12" s="517"/>
      <c r="E12" s="517"/>
      <c r="F12" s="518"/>
      <c r="G12" s="165">
        <v>4</v>
      </c>
      <c r="I12" s="166">
        <v>5.5</v>
      </c>
      <c r="J12" s="167">
        <v>3</v>
      </c>
      <c r="K12" s="154">
        <f>G12/100</f>
        <v>0.04</v>
      </c>
    </row>
    <row r="13" spans="1:11" ht="13.5" thickBot="1" x14ac:dyDescent="0.25">
      <c r="A13" s="168" t="s">
        <v>64</v>
      </c>
      <c r="B13" s="488" t="s">
        <v>219</v>
      </c>
      <c r="C13" s="519"/>
      <c r="D13" s="490"/>
      <c r="E13" s="490"/>
      <c r="F13" s="491"/>
      <c r="G13" s="169">
        <v>1.23</v>
      </c>
      <c r="I13" s="166">
        <v>1.39</v>
      </c>
      <c r="J13" s="167">
        <v>0.59</v>
      </c>
      <c r="K13" s="154">
        <f>G13/100</f>
        <v>1.23E-2</v>
      </c>
    </row>
    <row r="14" spans="1:11" ht="13.5" thickBot="1" x14ac:dyDescent="0.25">
      <c r="A14" s="170" t="s">
        <v>220</v>
      </c>
      <c r="B14" s="488" t="s">
        <v>221</v>
      </c>
      <c r="C14" s="519"/>
      <c r="D14" s="490"/>
      <c r="E14" s="490"/>
      <c r="F14" s="491"/>
      <c r="G14" s="169">
        <v>1.27</v>
      </c>
      <c r="I14" s="166">
        <v>1.27</v>
      </c>
      <c r="J14" s="167">
        <v>0.97</v>
      </c>
      <c r="K14" s="154">
        <f>G14/100</f>
        <v>1.2699999999999999E-2</v>
      </c>
    </row>
    <row r="15" spans="1:11" ht="13.5" thickBot="1" x14ac:dyDescent="0.25">
      <c r="A15" s="170" t="s">
        <v>222</v>
      </c>
      <c r="B15" s="526" t="s">
        <v>223</v>
      </c>
      <c r="C15" s="527"/>
      <c r="D15" s="528"/>
      <c r="E15" s="528"/>
      <c r="F15" s="529"/>
      <c r="G15" s="171">
        <v>0.8</v>
      </c>
      <c r="I15" s="172">
        <v>1</v>
      </c>
      <c r="J15" s="173">
        <v>0.8</v>
      </c>
      <c r="K15" s="154">
        <f>G15/100</f>
        <v>8.0000000000000002E-3</v>
      </c>
    </row>
    <row r="16" spans="1:11" ht="13.5" thickBot="1" x14ac:dyDescent="0.25">
      <c r="A16" s="161" t="s">
        <v>224</v>
      </c>
      <c r="B16" s="507" t="s">
        <v>225</v>
      </c>
      <c r="C16" s="508"/>
      <c r="D16" s="509"/>
      <c r="E16" s="509"/>
      <c r="F16" s="510"/>
      <c r="G16" s="162">
        <f>G17</f>
        <v>7.4</v>
      </c>
    </row>
    <row r="17" spans="1:14" ht="13.5" thickBot="1" x14ac:dyDescent="0.25">
      <c r="A17" s="174" t="s">
        <v>65</v>
      </c>
      <c r="B17" s="511" t="s">
        <v>226</v>
      </c>
      <c r="C17" s="512"/>
      <c r="D17" s="513"/>
      <c r="E17" s="513"/>
      <c r="F17" s="514"/>
      <c r="G17" s="175">
        <v>7.4</v>
      </c>
      <c r="I17" s="166">
        <v>8.9600000000000009</v>
      </c>
      <c r="J17" s="167">
        <v>6.16</v>
      </c>
      <c r="K17" s="154">
        <f>G17/100</f>
        <v>7.400000000000001E-2</v>
      </c>
    </row>
    <row r="18" spans="1:14" ht="13.5" thickBot="1" x14ac:dyDescent="0.25">
      <c r="A18" s="161" t="s">
        <v>227</v>
      </c>
      <c r="B18" s="507" t="s">
        <v>228</v>
      </c>
      <c r="C18" s="508"/>
      <c r="D18" s="509"/>
      <c r="E18" s="509"/>
      <c r="F18" s="510"/>
      <c r="G18" s="162">
        <f>G19+G20+G21+G22</f>
        <v>10.15</v>
      </c>
      <c r="I18" s="176"/>
      <c r="J18" s="176"/>
      <c r="K18" s="154">
        <f>SUM(K19:K22)</f>
        <v>0.10150000000000001</v>
      </c>
    </row>
    <row r="19" spans="1:14" x14ac:dyDescent="0.2">
      <c r="A19" s="177" t="s">
        <v>66</v>
      </c>
      <c r="B19" s="515" t="s">
        <v>229</v>
      </c>
      <c r="C19" s="516"/>
      <c r="D19" s="517"/>
      <c r="E19" s="517"/>
      <c r="F19" s="518"/>
      <c r="G19" s="178">
        <v>2</v>
      </c>
      <c r="I19" s="176"/>
      <c r="J19" s="176"/>
      <c r="K19" s="154">
        <f>G19/100</f>
        <v>0.02</v>
      </c>
    </row>
    <row r="20" spans="1:14" x14ac:dyDescent="0.2">
      <c r="A20" s="179" t="s">
        <v>62</v>
      </c>
      <c r="B20" s="488" t="s">
        <v>230</v>
      </c>
      <c r="C20" s="489"/>
      <c r="D20" s="490"/>
      <c r="E20" s="490"/>
      <c r="F20" s="491"/>
      <c r="G20" s="180">
        <v>3</v>
      </c>
      <c r="I20" s="176"/>
      <c r="J20" s="176"/>
      <c r="K20" s="154">
        <f>G20/100</f>
        <v>0.03</v>
      </c>
    </row>
    <row r="21" spans="1:14" x14ac:dyDescent="0.2">
      <c r="A21" s="181" t="s">
        <v>231</v>
      </c>
      <c r="B21" s="488" t="s">
        <v>232</v>
      </c>
      <c r="C21" s="519"/>
      <c r="D21" s="490"/>
      <c r="E21" s="490"/>
      <c r="F21" s="491"/>
      <c r="G21" s="182">
        <v>0.65</v>
      </c>
      <c r="I21" s="176"/>
      <c r="J21" s="176"/>
      <c r="K21" s="154">
        <f>G21/100</f>
        <v>6.5000000000000006E-3</v>
      </c>
    </row>
    <row r="22" spans="1:14" x14ac:dyDescent="0.2">
      <c r="A22" s="179" t="s">
        <v>233</v>
      </c>
      <c r="B22" s="488" t="s">
        <v>234</v>
      </c>
      <c r="C22" s="489"/>
      <c r="D22" s="490"/>
      <c r="E22" s="490"/>
      <c r="F22" s="491"/>
      <c r="G22" s="180">
        <v>4.5</v>
      </c>
      <c r="I22" s="176"/>
      <c r="J22" s="176"/>
      <c r="K22" s="183">
        <f>G22/100</f>
        <v>4.4999999999999998E-2</v>
      </c>
    </row>
    <row r="23" spans="1:14" ht="13.5" thickBot="1" x14ac:dyDescent="0.25">
      <c r="A23" s="492" t="s">
        <v>235</v>
      </c>
      <c r="B23" s="493"/>
      <c r="C23" s="493"/>
      <c r="D23" s="493"/>
      <c r="E23" s="493"/>
      <c r="F23" s="493"/>
      <c r="G23" s="494"/>
      <c r="I23" s="176"/>
      <c r="J23" s="176"/>
    </row>
    <row r="24" spans="1:14" ht="26.25" thickBot="1" x14ac:dyDescent="0.4">
      <c r="A24" s="495" t="s">
        <v>236</v>
      </c>
      <c r="B24" s="496"/>
      <c r="C24" s="496"/>
      <c r="D24" s="496"/>
      <c r="E24" s="496"/>
      <c r="F24" s="496"/>
      <c r="G24" s="497"/>
      <c r="I24" s="176"/>
      <c r="J24" s="176"/>
      <c r="K24" s="184">
        <f>(((1+$K$12+$K$15+$K$14)*(1+$K$13)*(1+$K$17)/(1-K18))-1)*100</f>
        <v>28.347674918197008</v>
      </c>
    </row>
    <row r="25" spans="1:14" ht="30.75" customHeight="1" thickBot="1" x14ac:dyDescent="0.25">
      <c r="A25" s="498" t="s">
        <v>237</v>
      </c>
      <c r="B25" s="499"/>
      <c r="C25" s="499"/>
      <c r="D25" s="499"/>
      <c r="E25" s="499"/>
      <c r="F25" s="500"/>
      <c r="G25" s="185">
        <f>(((1+$K$12+$K$15+$K$14)*(1+$K$13)*(1+$K$17)/(1-K18))-1)*100</f>
        <v>28.347674918197008</v>
      </c>
      <c r="I25" s="176"/>
      <c r="J25" s="176"/>
    </row>
    <row r="26" spans="1:14" ht="16.5" thickBot="1" x14ac:dyDescent="0.3">
      <c r="A26" s="501" t="s">
        <v>238</v>
      </c>
      <c r="B26" s="502"/>
      <c r="C26" s="502"/>
      <c r="D26" s="502"/>
      <c r="E26" s="502"/>
      <c r="F26" s="503"/>
      <c r="G26" s="186">
        <f>[1]RESUMO!C30</f>
        <v>637324.04000000015</v>
      </c>
      <c r="I26" s="187"/>
      <c r="J26" s="187"/>
    </row>
    <row r="27" spans="1:14" ht="13.5" thickBot="1" x14ac:dyDescent="0.25">
      <c r="A27" s="504" t="s">
        <v>239</v>
      </c>
      <c r="B27" s="505"/>
      <c r="C27" s="505"/>
      <c r="D27" s="505"/>
      <c r="E27" s="505"/>
      <c r="F27" s="505"/>
      <c r="G27" s="506"/>
      <c r="I27" s="183"/>
      <c r="J27" s="183"/>
    </row>
    <row r="28" spans="1:14" ht="16.5" thickBot="1" x14ac:dyDescent="0.25">
      <c r="A28" s="476" t="s">
        <v>240</v>
      </c>
      <c r="B28" s="477"/>
      <c r="C28" s="477"/>
      <c r="D28" s="477"/>
      <c r="E28" s="477"/>
      <c r="F28" s="477"/>
      <c r="G28" s="478"/>
      <c r="I28" s="183"/>
      <c r="J28" s="183"/>
      <c r="N28" s="188"/>
    </row>
    <row r="29" spans="1:14" x14ac:dyDescent="0.2">
      <c r="A29" s="479"/>
      <c r="B29" s="480"/>
      <c r="C29" s="480"/>
      <c r="D29" s="480"/>
      <c r="E29" s="480"/>
      <c r="F29" s="480"/>
      <c r="G29" s="481"/>
    </row>
    <row r="30" spans="1:14" ht="18.75" x14ac:dyDescent="0.25">
      <c r="A30" s="482"/>
      <c r="B30" s="483"/>
      <c r="C30" s="483"/>
      <c r="D30" s="483"/>
      <c r="E30" s="483"/>
      <c r="F30" s="483"/>
      <c r="G30" s="484"/>
      <c r="H30" s="189"/>
    </row>
    <row r="31" spans="1:14" ht="18.75" x14ac:dyDescent="0.25">
      <c r="A31" s="482"/>
      <c r="B31" s="483"/>
      <c r="C31" s="483"/>
      <c r="D31" s="483"/>
      <c r="E31" s="483"/>
      <c r="F31" s="483"/>
      <c r="G31" s="484"/>
      <c r="H31" s="189"/>
    </row>
    <row r="32" spans="1:14" ht="13.5" thickBot="1" x14ac:dyDescent="0.25">
      <c r="A32" s="485"/>
      <c r="B32" s="486"/>
      <c r="C32" s="486"/>
      <c r="D32" s="486"/>
      <c r="E32" s="486"/>
      <c r="F32" s="486"/>
      <c r="G32" s="487"/>
    </row>
  </sheetData>
  <mergeCells count="29">
    <mergeCell ref="B8:E8"/>
    <mergeCell ref="F8:F9"/>
    <mergeCell ref="G8:G9"/>
    <mergeCell ref="B9:E9"/>
    <mergeCell ref="A1:G5"/>
    <mergeCell ref="B6:E6"/>
    <mergeCell ref="F6:F7"/>
    <mergeCell ref="G6:G7"/>
    <mergeCell ref="B7:E7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A28:G28"/>
    <mergeCell ref="A29:G32"/>
    <mergeCell ref="B22:F22"/>
    <mergeCell ref="A23:G23"/>
    <mergeCell ref="A24:G24"/>
    <mergeCell ref="A25:F25"/>
    <mergeCell ref="A26:F26"/>
    <mergeCell ref="A27:G27"/>
  </mergeCells>
  <pageMargins left="0.78740157480314965" right="0.39370078740157483" top="0.78740157480314965" bottom="0.98425196850393704" header="0.78740157480314965" footer="0.31496062992125984"/>
  <pageSetup paperSize="9" scale="70" orientation="portrait" r:id="rId1"/>
  <headerFooter>
    <oddHeader>&amp;L&amp;G&amp;R&amp;G</oddHeader>
    <oddFooter>&amp;RPágina &amp;P de &amp;N</oddFooter>
  </headerFooter>
  <colBreaks count="1" manualBreakCount="1">
    <brk id="7" max="31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7</vt:i4>
      </vt:variant>
    </vt:vector>
  </HeadingPairs>
  <TitlesOfParts>
    <vt:vector size="15" baseType="lpstr">
      <vt:lpstr>Resumo</vt:lpstr>
      <vt:lpstr>P. Referência</vt:lpstr>
      <vt:lpstr>Composições</vt:lpstr>
      <vt:lpstr>Resumo RV</vt:lpstr>
      <vt:lpstr>Alvenaria-Pintura</vt:lpstr>
      <vt:lpstr>Cobertura</vt:lpstr>
      <vt:lpstr>Cotação</vt:lpstr>
      <vt:lpstr>BDI</vt:lpstr>
      <vt:lpstr>BDI!Area_de_impressao</vt:lpstr>
      <vt:lpstr>'P. Referência'!Area_de_impressao</vt:lpstr>
      <vt:lpstr>Resumo!Area_de_impressao</vt:lpstr>
      <vt:lpstr>'Resumo RV'!Area_de_impressao</vt:lpstr>
      <vt:lpstr>'P. Referência'!Titulos_de_impressao</vt:lpstr>
      <vt:lpstr>Resumo!Titulos_de_impressao</vt:lpstr>
      <vt:lpstr>'Resumo RV'!Titulos_de_impressao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Adriano de Oliveira</dc:creator>
  <cp:lastModifiedBy>Jaderson Diego de Figueiredo</cp:lastModifiedBy>
  <cp:lastPrinted>2021-10-05T14:55:36Z</cp:lastPrinted>
  <dcterms:created xsi:type="dcterms:W3CDTF">2017-08-18T12:05:16Z</dcterms:created>
  <dcterms:modified xsi:type="dcterms:W3CDTF">2022-01-11T20:26:16Z</dcterms:modified>
</cp:coreProperties>
</file>