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JUÍNA\006 - REFORMA\REFORMA JUINA 2021\"/>
    </mc:Choice>
  </mc:AlternateContent>
  <bookViews>
    <workbookView xWindow="0" yWindow="0" windowWidth="19200" windowHeight="6465" tabRatio="807" activeTab="1"/>
  </bookViews>
  <sheets>
    <sheet name="Resumo AP" sheetId="25" r:id="rId1"/>
    <sheet name=" Resumo RV" sheetId="24" r:id="rId2"/>
    <sheet name="P. Referência" sheetId="17" r:id="rId3"/>
    <sheet name="Composições" sheetId="18" r:id="rId4"/>
    <sheet name="Alvenaria-Pintura" sheetId="19" r:id="rId5"/>
    <sheet name="Cobertura" sheetId="21" r:id="rId6"/>
    <sheet name="Cotação" sheetId="20" r:id="rId7"/>
  </sheets>
  <definedNames>
    <definedName name="_xlnm.Print_Area" localSheetId="1">' Resumo RV'!$B$2:$I$65</definedName>
    <definedName name="_xlnm.Print_Area" localSheetId="2">'P. Referência'!$B$2:$I$65</definedName>
    <definedName name="_xlnm.Print_Area" localSheetId="0">'Resumo AP'!$B$2:$I$65</definedName>
    <definedName name="_xlnm.Print_Titles" localSheetId="1">' Resumo RV'!$2:$7</definedName>
    <definedName name="_xlnm.Print_Titles" localSheetId="2">'P. Referência'!$2:$7</definedName>
    <definedName name="_xlnm.Print_Titles" localSheetId="0">'Resumo AP'!$2:$7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25" l="1"/>
  <c r="H62" i="25" s="1"/>
  <c r="I62" i="25" s="1"/>
  <c r="H61" i="25"/>
  <c r="I61" i="25" s="1"/>
  <c r="G60" i="25"/>
  <c r="H60" i="25" s="1"/>
  <c r="I60" i="25" s="1"/>
  <c r="H56" i="25"/>
  <c r="I56" i="25" s="1"/>
  <c r="G56" i="25"/>
  <c r="G55" i="25"/>
  <c r="H55" i="25" s="1"/>
  <c r="I55" i="25" s="1"/>
  <c r="H54" i="25"/>
  <c r="I54" i="25" s="1"/>
  <c r="G54" i="25"/>
  <c r="H53" i="25"/>
  <c r="I53" i="25" s="1"/>
  <c r="H52" i="25"/>
  <c r="I52" i="25" s="1"/>
  <c r="H51" i="25"/>
  <c r="I51" i="25" s="1"/>
  <c r="H50" i="25"/>
  <c r="I50" i="25" s="1"/>
  <c r="H49" i="25"/>
  <c r="I49" i="25" s="1"/>
  <c r="H48" i="25"/>
  <c r="I48" i="25" s="1"/>
  <c r="G48" i="25"/>
  <c r="H44" i="25"/>
  <c r="I44" i="25" s="1"/>
  <c r="H43" i="25"/>
  <c r="I43" i="25" s="1"/>
  <c r="H42" i="25"/>
  <c r="I42" i="25" s="1"/>
  <c r="G41" i="25"/>
  <c r="H41" i="25" s="1"/>
  <c r="I41" i="25" s="1"/>
  <c r="G40" i="25"/>
  <c r="H40" i="25" s="1"/>
  <c r="I40" i="25" s="1"/>
  <c r="G39" i="25"/>
  <c r="H39" i="25" s="1"/>
  <c r="I39" i="25" s="1"/>
  <c r="H35" i="25"/>
  <c r="I35" i="25" s="1"/>
  <c r="H34" i="25"/>
  <c r="I34" i="25" s="1"/>
  <c r="H33" i="25"/>
  <c r="I33" i="25" s="1"/>
  <c r="G33" i="25"/>
  <c r="H32" i="25"/>
  <c r="I32" i="25" s="1"/>
  <c r="H31" i="25"/>
  <c r="I31" i="25" s="1"/>
  <c r="H30" i="25"/>
  <c r="I30" i="25" s="1"/>
  <c r="H29" i="25"/>
  <c r="I29" i="25" s="1"/>
  <c r="H28" i="25"/>
  <c r="I28" i="25" s="1"/>
  <c r="H27" i="25"/>
  <c r="I27" i="25" s="1"/>
  <c r="H26" i="25"/>
  <c r="I26" i="25" s="1"/>
  <c r="G25" i="25"/>
  <c r="H25" i="25" s="1"/>
  <c r="I25" i="25" s="1"/>
  <c r="H21" i="25"/>
  <c r="I21" i="25" s="1"/>
  <c r="G21" i="25"/>
  <c r="G20" i="25"/>
  <c r="H20" i="25" s="1"/>
  <c r="I20" i="25" s="1"/>
  <c r="I22" i="25" s="1"/>
  <c r="I19" i="25" s="1"/>
  <c r="H16" i="25"/>
  <c r="I16" i="25" s="1"/>
  <c r="G15" i="25"/>
  <c r="H15" i="25" s="1"/>
  <c r="I15" i="25" s="1"/>
  <c r="H14" i="25"/>
  <c r="I14" i="25" s="1"/>
  <c r="G14" i="25"/>
  <c r="H10" i="25"/>
  <c r="I10" i="25" s="1"/>
  <c r="H9" i="25"/>
  <c r="I9" i="25" s="1"/>
  <c r="I63" i="25" l="1"/>
  <c r="I59" i="25" s="1"/>
  <c r="I17" i="25"/>
  <c r="I13" i="25" s="1"/>
  <c r="I36" i="25"/>
  <c r="I24" i="25" s="1"/>
  <c r="I45" i="25"/>
  <c r="I38" i="25" s="1"/>
  <c r="I11" i="25"/>
  <c r="I8" i="25" s="1"/>
  <c r="I57" i="25"/>
  <c r="I47" i="25" s="1"/>
  <c r="G62" i="24"/>
  <c r="H62" i="24" s="1"/>
  <c r="I62" i="24" s="1"/>
  <c r="I61" i="24"/>
  <c r="H61" i="24"/>
  <c r="G60" i="24"/>
  <c r="H60" i="24" s="1"/>
  <c r="I60" i="24" s="1"/>
  <c r="G56" i="24"/>
  <c r="H56" i="24" s="1"/>
  <c r="I56" i="24" s="1"/>
  <c r="G55" i="24"/>
  <c r="H55" i="24" s="1"/>
  <c r="I55" i="24" s="1"/>
  <c r="G54" i="24"/>
  <c r="H54" i="24" s="1"/>
  <c r="I54" i="24" s="1"/>
  <c r="H53" i="24"/>
  <c r="I53" i="24" s="1"/>
  <c r="H52" i="24"/>
  <c r="I52" i="24" s="1"/>
  <c r="H51" i="24"/>
  <c r="I51" i="24" s="1"/>
  <c r="H50" i="24"/>
  <c r="I50" i="24" s="1"/>
  <c r="H49" i="24"/>
  <c r="I49" i="24" s="1"/>
  <c r="G48" i="24"/>
  <c r="H48" i="24" s="1"/>
  <c r="I48" i="24" s="1"/>
  <c r="H44" i="24"/>
  <c r="I44" i="24" s="1"/>
  <c r="H43" i="24"/>
  <c r="I43" i="24" s="1"/>
  <c r="H42" i="24"/>
  <c r="I42" i="24" s="1"/>
  <c r="H41" i="24"/>
  <c r="I41" i="24" s="1"/>
  <c r="G41" i="24"/>
  <c r="G40" i="24"/>
  <c r="H40" i="24" s="1"/>
  <c r="I40" i="24" s="1"/>
  <c r="H39" i="24"/>
  <c r="I39" i="24" s="1"/>
  <c r="G39" i="24"/>
  <c r="H35" i="24"/>
  <c r="I35" i="24" s="1"/>
  <c r="H34" i="24"/>
  <c r="I34" i="24" s="1"/>
  <c r="G33" i="24"/>
  <c r="H33" i="24" s="1"/>
  <c r="I33" i="24" s="1"/>
  <c r="H32" i="24"/>
  <c r="I32" i="24" s="1"/>
  <c r="I31" i="24"/>
  <c r="H31" i="24"/>
  <c r="H30" i="24"/>
  <c r="I30" i="24" s="1"/>
  <c r="H29" i="24"/>
  <c r="I29" i="24" s="1"/>
  <c r="I28" i="24"/>
  <c r="H28" i="24"/>
  <c r="H27" i="24"/>
  <c r="I27" i="24" s="1"/>
  <c r="H26" i="24"/>
  <c r="I26" i="24" s="1"/>
  <c r="G25" i="24"/>
  <c r="H25" i="24" s="1"/>
  <c r="I25" i="24" s="1"/>
  <c r="G21" i="24"/>
  <c r="H21" i="24" s="1"/>
  <c r="I21" i="24" s="1"/>
  <c r="G20" i="24"/>
  <c r="H20" i="24" s="1"/>
  <c r="I20" i="24" s="1"/>
  <c r="I22" i="24" s="1"/>
  <c r="H16" i="24"/>
  <c r="I16" i="24" s="1"/>
  <c r="G15" i="24"/>
  <c r="H15" i="24" s="1"/>
  <c r="I15" i="24" s="1"/>
  <c r="G14" i="24"/>
  <c r="H14" i="24" s="1"/>
  <c r="I14" i="24" s="1"/>
  <c r="H10" i="24"/>
  <c r="I10" i="24" s="1"/>
  <c r="H9" i="24"/>
  <c r="I9" i="24" s="1"/>
  <c r="I11" i="24" s="1"/>
  <c r="I65" i="17"/>
  <c r="G62" i="17"/>
  <c r="G60" i="17"/>
  <c r="G56" i="17"/>
  <c r="G55" i="17"/>
  <c r="G54" i="17"/>
  <c r="G48" i="17"/>
  <c r="G41" i="17"/>
  <c r="G40" i="17"/>
  <c r="G39" i="17"/>
  <c r="G33" i="17"/>
  <c r="G25" i="17"/>
  <c r="G21" i="17"/>
  <c r="G20" i="17"/>
  <c r="G15" i="17"/>
  <c r="G14" i="17"/>
  <c r="I65" i="25" l="1"/>
  <c r="I36" i="24"/>
  <c r="I17" i="24"/>
  <c r="I45" i="24"/>
  <c r="I57" i="24"/>
  <c r="I63" i="24"/>
  <c r="I65" i="24" s="1"/>
  <c r="M5" i="19"/>
  <c r="H53" i="17" l="1"/>
  <c r="I53" i="17" s="1"/>
  <c r="H52" i="17"/>
  <c r="I52" i="17"/>
  <c r="C14" i="19"/>
  <c r="C12" i="19"/>
  <c r="J24" i="19"/>
  <c r="H23" i="19"/>
  <c r="J23" i="19" s="1"/>
  <c r="H22" i="19"/>
  <c r="H21" i="19"/>
  <c r="J21" i="19" s="1"/>
  <c r="H20" i="19"/>
  <c r="J20" i="19" s="1"/>
  <c r="H19" i="19"/>
  <c r="J19" i="19" s="1"/>
  <c r="H18" i="19"/>
  <c r="J18" i="19" s="1"/>
  <c r="H17" i="19"/>
  <c r="H16" i="19"/>
  <c r="J22" i="19"/>
  <c r="H15" i="19"/>
  <c r="J15" i="19" s="1"/>
  <c r="H14" i="19"/>
  <c r="J14" i="19" s="1"/>
  <c r="H13" i="19"/>
  <c r="J13" i="19" s="1"/>
  <c r="H8" i="19"/>
  <c r="H9" i="19"/>
  <c r="H12" i="19"/>
  <c r="J12" i="19" s="1"/>
  <c r="H11" i="19"/>
  <c r="J11" i="19" s="1"/>
  <c r="H10" i="19"/>
  <c r="J10" i="19" s="1"/>
  <c r="I9" i="19"/>
  <c r="I8" i="19"/>
  <c r="J16" i="19"/>
  <c r="J17" i="19"/>
  <c r="H7" i="19"/>
  <c r="J7" i="19" s="1"/>
  <c r="H6" i="19"/>
  <c r="H5" i="19"/>
  <c r="J5" i="19" s="1"/>
  <c r="H4" i="19"/>
  <c r="J4" i="19" s="1"/>
  <c r="J8" i="19"/>
  <c r="J6" i="19"/>
  <c r="C9" i="19"/>
  <c r="C8" i="19"/>
  <c r="E8" i="19" s="1"/>
  <c r="C7" i="19"/>
  <c r="C6" i="19"/>
  <c r="E6" i="19" s="1"/>
  <c r="C4" i="19"/>
  <c r="E4" i="19" s="1"/>
  <c r="E9" i="19"/>
  <c r="C5" i="19"/>
  <c r="E5" i="19" s="1"/>
  <c r="D4" i="19"/>
  <c r="H29" i="17"/>
  <c r="I29" i="17" s="1"/>
  <c r="H28" i="17"/>
  <c r="I28" i="17" s="1"/>
  <c r="J9" i="19" l="1"/>
  <c r="E7" i="19"/>
  <c r="E10" i="19" s="1"/>
  <c r="H61" i="17" l="1"/>
  <c r="I61" i="17" s="1"/>
  <c r="H44" i="17"/>
  <c r="I44" i="17" s="1"/>
  <c r="H43" i="17"/>
  <c r="I43" i="17" s="1"/>
  <c r="H42" i="17" l="1"/>
  <c r="I42" i="17" s="1"/>
  <c r="H41" i="17" l="1"/>
  <c r="I41" i="17" s="1"/>
  <c r="G63" i="18"/>
  <c r="G57" i="18"/>
  <c r="G53" i="18"/>
  <c r="H40" i="17"/>
  <c r="I40" i="17" s="1"/>
  <c r="G78" i="18" l="1"/>
  <c r="G77" i="18"/>
  <c r="G76" i="18"/>
  <c r="G75" i="18"/>
  <c r="H62" i="17"/>
  <c r="I62" i="17" s="1"/>
  <c r="G73" i="18"/>
  <c r="G72" i="18"/>
  <c r="G71" i="18"/>
  <c r="G70" i="18"/>
  <c r="H60" i="17"/>
  <c r="I60" i="17" s="1"/>
  <c r="I63" i="17" l="1"/>
  <c r="G74" i="18"/>
  <c r="G69" i="18"/>
  <c r="H34" i="17" l="1"/>
  <c r="I34" i="17" s="1"/>
  <c r="H56" i="17"/>
  <c r="I56" i="17" s="1"/>
  <c r="G68" i="18"/>
  <c r="G67" i="18"/>
  <c r="G66" i="18"/>
  <c r="G65" i="18"/>
  <c r="G64" i="18" l="1"/>
  <c r="G28" i="18" l="1"/>
  <c r="G27" i="18"/>
  <c r="G62" i="18"/>
  <c r="G61" i="18"/>
  <c r="G60" i="18"/>
  <c r="G59" i="18" s="1"/>
  <c r="G58" i="18"/>
  <c r="G56" i="18"/>
  <c r="G55" i="18"/>
  <c r="G52" i="18"/>
  <c r="G51" i="18"/>
  <c r="G50" i="18"/>
  <c r="G49" i="18" s="1"/>
  <c r="G54" i="18" l="1"/>
  <c r="G26" i="18"/>
  <c r="G48" i="18"/>
  <c r="G47" i="18"/>
  <c r="G46" i="18"/>
  <c r="G45" i="18"/>
  <c r="G44" i="18"/>
  <c r="G43" i="18"/>
  <c r="G40" i="18"/>
  <c r="G39" i="18"/>
  <c r="G38" i="18"/>
  <c r="G37" i="18" s="1"/>
  <c r="H16" i="17"/>
  <c r="I16" i="17" s="1"/>
  <c r="H15" i="17"/>
  <c r="I15" i="17" s="1"/>
  <c r="H14" i="17"/>
  <c r="I14" i="17" s="1"/>
  <c r="H21" i="17"/>
  <c r="I21" i="17" s="1"/>
  <c r="G36" i="18"/>
  <c r="G35" i="18"/>
  <c r="G34" i="18"/>
  <c r="G32" i="18"/>
  <c r="G31" i="18"/>
  <c r="G30" i="18"/>
  <c r="H30" i="17"/>
  <c r="I17" i="17" l="1"/>
  <c r="G33" i="18"/>
  <c r="G42" i="18"/>
  <c r="G29" i="18"/>
  <c r="H25" i="17" l="1"/>
  <c r="I25" i="17" s="1"/>
  <c r="H48" i="17" l="1"/>
  <c r="I48" i="17" s="1"/>
  <c r="G25" i="18"/>
  <c r="G24" i="18"/>
  <c r="G23" i="18" s="1"/>
  <c r="H26" i="17" l="1"/>
  <c r="I26" i="17" s="1"/>
  <c r="H27" i="17"/>
  <c r="I27" i="17" s="1"/>
  <c r="H9" i="17" l="1"/>
  <c r="I9" i="17" s="1"/>
  <c r="H10" i="17"/>
  <c r="I10" i="17" s="1"/>
  <c r="H20" i="17"/>
  <c r="I20" i="17" s="1"/>
  <c r="I22" i="17" s="1"/>
  <c r="I11" i="17" l="1"/>
  <c r="G22" i="18"/>
  <c r="G21" i="18"/>
  <c r="G20" i="18"/>
  <c r="G16" i="18"/>
  <c r="G18" i="18"/>
  <c r="G17" i="18"/>
  <c r="G14" i="18"/>
  <c r="G13" i="18"/>
  <c r="G12" i="18"/>
  <c r="G11" i="18"/>
  <c r="G10" i="18"/>
  <c r="G9" i="18"/>
  <c r="G8" i="18"/>
  <c r="G7" i="18"/>
  <c r="G6" i="18"/>
  <c r="G19" i="18" l="1"/>
  <c r="G15" i="18"/>
  <c r="G5" i="18"/>
  <c r="H50" i="17" l="1"/>
  <c r="I50" i="17" s="1"/>
  <c r="H51" i="17"/>
  <c r="I51" i="17" s="1"/>
  <c r="H54" i="17"/>
  <c r="I54" i="17" s="1"/>
  <c r="H55" i="17"/>
  <c r="I55" i="17" s="1"/>
  <c r="H49" i="17"/>
  <c r="I49" i="17" s="1"/>
  <c r="H39" i="17"/>
  <c r="I39" i="17" s="1"/>
  <c r="H31" i="17"/>
  <c r="I31" i="17" s="1"/>
  <c r="H32" i="17"/>
  <c r="I32" i="17" s="1"/>
  <c r="H33" i="17"/>
  <c r="I33" i="17" s="1"/>
  <c r="H35" i="17"/>
  <c r="I35" i="17" s="1"/>
  <c r="I30" i="17"/>
  <c r="I57" i="17" l="1"/>
  <c r="I45" i="17"/>
  <c r="I36" i="17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3x/semana,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comments2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3x/semana,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comments3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3x/semana,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sharedStrings.xml><?xml version="1.0" encoding="utf-8"?>
<sst xmlns="http://schemas.openxmlformats.org/spreadsheetml/2006/main" count="660" uniqueCount="206">
  <si>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</si>
  <si>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</si>
  <si>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</si>
  <si>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</si>
  <si>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</si>
  <si>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</si>
  <si>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</si>
  <si>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</si>
  <si>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</si>
  <si>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COBERTURA E FORRO.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</si>
  <si>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</si>
  <si>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</si>
  <si>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</si>
  <si>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</si>
  <si>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</si>
  <si>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</si>
  <si>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</si>
  <si>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APLICAÇÃO MANUAL DE TINTA LÁTEX ACRÍLICA, 1° LINHA, ANTIMOFO E LAVAVEL, COM DUAS DEMÃOS NA COR OVELHA.</t>
  </si>
  <si>
    <t>Referência SINAPI Desonerada: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</si>
  <si>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</si>
  <si>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</si>
  <si>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>APLICAÇÃO DE FUNDO SELADOR ACRÍLICO EM PAREDES, UMA DEMÃO. AF_06/2014.</t>
  </si>
  <si>
    <t>APLICAÇÃO E LIXAMENTO DE MASSA LÁTEX EM PAREDES, DUAS DEMÃOS. AF_06/2014.</t>
  </si>
  <si>
    <t>TEXTURA ACRÍLICA, APLICAÇÃO MANUAL EM PAREDE, UMA DEMÃO. AF_09/2016</t>
  </si>
  <si>
    <t>PINGADEIRA EM CHAPA DE AÇO GALVANIZADO NÚMERO 24, INCLUSO TRANSPORTE VERTICAL.</t>
  </si>
  <si>
    <t>Valor Unitário C/ BDI 25,55%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</si>
  <si>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</si>
  <si>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</si>
  <si>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</si>
  <si>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</si>
  <si>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</si>
  <si>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</si>
  <si>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</si>
  <si>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</si>
  <si>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</si>
  <si>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</si>
  <si>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</si>
  <si>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</si>
  <si>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</si>
  <si>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</si>
  <si>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</si>
  <si>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</si>
  <si>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</si>
  <si>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</si>
  <si>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1</t>
  </si>
  <si>
    <t>Composição 2</t>
  </si>
  <si>
    <t>M2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</si>
  <si>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</si>
  <si>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</si>
  <si>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</si>
  <si>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</si>
  <si>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</si>
  <si>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</si>
  <si>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</si>
  <si>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FORROS DE DRYWALL, PVC E FIBROMINERAL, DE FORMA MANUAL, SEM REAPROVEITAMENTO. AF_12/2017</t>
  </si>
  <si>
    <t>REMOÇÃO DE TELHAS, DE FIBROCIMENTO, METÁLICA E CERÂMICA, DE FORMA MANUAL, SEM REAPROVEITAMENTO. AF_12/2017</t>
  </si>
  <si>
    <t>REMOÇÃO DE PINTURA</t>
  </si>
  <si>
    <t>Quant.</t>
  </si>
  <si>
    <t>ENCARREGADO GERAL COM ENCARGOS COMPLEMENTARES</t>
  </si>
  <si>
    <t>90776</t>
  </si>
  <si>
    <t>Composição 7</t>
  </si>
  <si>
    <t>REMOÇÃO DE PINTURA INTERNA E EXTERNA</t>
  </si>
  <si>
    <t>Valor Unit.</t>
  </si>
  <si>
    <t>3.2</t>
  </si>
  <si>
    <t>1.1</t>
  </si>
  <si>
    <t>1.2</t>
  </si>
  <si>
    <t>2.1</t>
  </si>
  <si>
    <t>3.1</t>
  </si>
  <si>
    <t>4.1</t>
  </si>
  <si>
    <t>5.1</t>
  </si>
  <si>
    <t>5.2</t>
  </si>
  <si>
    <t>6.1</t>
  </si>
  <si>
    <t>6.2</t>
  </si>
  <si>
    <t>6.4</t>
  </si>
  <si>
    <t>6.5</t>
  </si>
  <si>
    <t>6.6</t>
  </si>
  <si>
    <t>Composição 07</t>
  </si>
  <si>
    <t>REMOÇÃO DE RUFO, CALHAS E PINGADEIRA SEM REAPROVEITAMENTO</t>
  </si>
  <si>
    <t>Composição 08</t>
  </si>
  <si>
    <t>Composição 8</t>
  </si>
  <si>
    <t>Kg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</si>
  <si>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</si>
  <si>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</si>
  <si>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</si>
  <si>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</si>
  <si>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</si>
  <si>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</si>
  <si>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</si>
  <si>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</si>
  <si>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</si>
  <si>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</si>
  <si>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</si>
  <si>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</si>
  <si>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</si>
  <si>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</si>
  <si>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</si>
  <si>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</si>
  <si>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</si>
  <si>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</si>
  <si>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</si>
  <si>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</si>
  <si>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</si>
  <si>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</si>
  <si>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</si>
  <si>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Composição 13</t>
  </si>
  <si>
    <t>SERVIÇOS PRELIMINARES</t>
  </si>
  <si>
    <t>Composição 4</t>
  </si>
  <si>
    <t>Planilha de Referência Orçamentária
Núcleo Avançado de Capacitação JUÍNA</t>
  </si>
  <si>
    <t>REVESTIMENTOS</t>
  </si>
  <si>
    <t>SERVIÇO DE TROCA DE AZULEJOS CERAMICOS</t>
  </si>
  <si>
    <t>SERVIÇO DE TROCA DE PASTILHA CERAMICA</t>
  </si>
  <si>
    <t>REVESTIMENTO CERÂMICO PARA PAREDES INTERNAS COM PLACAS TIPO ESMALTADA EXTRA DE DIMENSÕES 25X35 CM APLICADAS EM AMBIENTES DE ÁREA MENOR QUE 5 M² A MEIA ALTURA DAS PAREDES. AF_06/2014</t>
  </si>
  <si>
    <t>88256</t>
  </si>
  <si>
    <t>AZULEJISTA OU LADRILHISTA COM ENCARGOS COMPLEMENTARES</t>
  </si>
  <si>
    <t>Composição 03</t>
  </si>
  <si>
    <t>SERVIÇO DE TROCA DE PISO CERAMICO</t>
  </si>
  <si>
    <t>REVESTIMENTO CERÂMICO PARA PISO COM PLACAS TIPO ESMALTADA EXTRA DE DIMENSÕES 45X45 CM APLICADA EM AMBIENTES DE ÁREA MAIOR QUE 10 M2. AF_06/2014</t>
  </si>
  <si>
    <t>4.2</t>
  </si>
  <si>
    <t>4.3</t>
  </si>
  <si>
    <t>RECUPERAÇÃO DE TRINCA PAREDES COM ARGAMASSA E ELASTÔMERO</t>
  </si>
  <si>
    <t>ARGAMASSA INDUSTRIALIZADA MULTIUSO, PARA REVESTIMENTO INTERNO E EXTERNO E ASSENTAMENTO DE BLOCOS DIVERSOS</t>
  </si>
  <si>
    <t>PEDREIRO COM ENCARGOS COMPLEMENTARES</t>
  </si>
  <si>
    <t>ALVENARIA E PINTURA</t>
  </si>
  <si>
    <t>FABRICAÇÃO E INSTALAÇÃO DE TESOURA INTEIRA EM AÇO, VÃO DE 6 M, PARA TELHA ONDULADA DE FIBROCIMENTO, METÁLICA, PLÁSTICA OU TERMOACÚSTICA, INCLUSO IÇAMENTO. AF_12/2015.</t>
  </si>
  <si>
    <t>FORRO EM DRYWALL, PARA AMBIENTES COMERCIAIS, INCLUSIVE ESTRUTURA DE FIXAÇÃO. AF_05/2017_P</t>
  </si>
  <si>
    <t>Composição 5</t>
  </si>
  <si>
    <t>Composição 6</t>
  </si>
  <si>
    <t>Composição 9</t>
  </si>
  <si>
    <t>Composição 3</t>
  </si>
  <si>
    <t>Composição 15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</si>
  <si>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</si>
  <si>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</si>
  <si>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</si>
  <si>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</si>
  <si>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</si>
  <si>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Composição 14</t>
  </si>
  <si>
    <t>SERVIÇOS COMPLEMENTARES</t>
  </si>
  <si>
    <t xml:space="preserve">MANUTENÇÃO ACM </t>
  </si>
  <si>
    <t>MANUTENÇÃO ACM</t>
  </si>
  <si>
    <t xml:space="preserve">SELANTE ELASTICO MONOCOMPONENTE A BASE DE POLIURETANO (PU) PARA JUNTAS DIVERSAS             </t>
  </si>
  <si>
    <t>SERRALHEIRO COM ENCARGOS COMPLEMENTARES</t>
  </si>
  <si>
    <t>88315</t>
  </si>
  <si>
    <t>88316</t>
  </si>
  <si>
    <t>Cotação</t>
  </si>
  <si>
    <t>Tubo Quadrado Metalon 30 X 30 0.95 Galvanizado</t>
  </si>
  <si>
    <t>2.3</t>
  </si>
  <si>
    <t>4.4</t>
  </si>
  <si>
    <t>4.5</t>
  </si>
  <si>
    <t>4.6</t>
  </si>
  <si>
    <t>4.7</t>
  </si>
  <si>
    <t>4.8</t>
  </si>
  <si>
    <t>4.9</t>
  </si>
  <si>
    <t>5.3</t>
  </si>
  <si>
    <t>6.3</t>
  </si>
  <si>
    <t>6.7</t>
  </si>
  <si>
    <t>7.1</t>
  </si>
  <si>
    <t>7.2</t>
  </si>
  <si>
    <t>5.4</t>
  </si>
  <si>
    <t>DEMOLIÇÃO DE REVESTIMENTO CERÂMICO, DE FORMA MANUAL, SEM REAPROVEITAMENTO. AF_12/2017</t>
  </si>
  <si>
    <t>DEMOLIÇÃO DE ARGAMASSAS, DE FORMA MANUAL, SEM REAPROVEITAMENTO. AF_12/2017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</si>
  <si>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</si>
  <si>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5.5</t>
  </si>
  <si>
    <t>ADITIVO IMPERMEABILIZANTE DE PEGA NORMAL PARA ARGAMASSAS E CONCRETOS SEM ARMACAO, LIQUIDO E ISENTO DE CLORETOS</t>
  </si>
  <si>
    <t>5.6</t>
  </si>
  <si>
    <t>IMPERMEABILIZAÇÃO DE SUPERFÍCIE COM MANTA ASFÁLTICA, UMA CAMADA, INCLUSIVE APLICAÇÃO DE PRIMER ASFÁLTICO, E=3MM. AF_06/2018</t>
  </si>
  <si>
    <t>7.3</t>
  </si>
  <si>
    <t>TELHAMENTO COM TELHA ESTRUTURAL DE FIBROCIMENTO E= 8 MM, COM ATÉ 2 ÁGUAS, INCLUSO IÇAMENTO. AF_07/2019_P</t>
  </si>
  <si>
    <t>REMOÇÃO DE TRAMA DE MADEIRA PARA COBERTURA, DE FORMA MANUAL, SEM REAPROVEITAMENTO. AF_12/2017</t>
  </si>
  <si>
    <t>REMOÇÃO DE TESOURAS DE MADEIRA, COM VÃO MENOR QUE 8M, DE FORMA MANUAL, SEM REAPROVEITAMENTO. AF_12/2017</t>
  </si>
  <si>
    <t>Paredes</t>
  </si>
  <si>
    <t>p1</t>
  </si>
  <si>
    <t>Area</t>
  </si>
  <si>
    <t>Vão</t>
  </si>
  <si>
    <t xml:space="preserve">Area Total </t>
  </si>
  <si>
    <t>p2</t>
  </si>
  <si>
    <t>p3</t>
  </si>
  <si>
    <t>p4</t>
  </si>
  <si>
    <t>p5</t>
  </si>
  <si>
    <t>p6</t>
  </si>
  <si>
    <t>p7</t>
  </si>
  <si>
    <t>p8</t>
  </si>
  <si>
    <t>EXTERNO</t>
  </si>
  <si>
    <t>TOTAL</t>
  </si>
  <si>
    <t>INTERNO</t>
  </si>
  <si>
    <t>p9</t>
  </si>
  <si>
    <t>p10</t>
  </si>
  <si>
    <t>p11</t>
  </si>
  <si>
    <t>p12</t>
  </si>
  <si>
    <t>p13</t>
  </si>
  <si>
    <t>SELADOR</t>
  </si>
  <si>
    <t>FORRO</t>
  </si>
  <si>
    <t>APLICAÇÃO E LIXAMENTO DE MASSA LÁTEX EM TETO, DUAS DEMÃOS. AF_06/2014</t>
  </si>
  <si>
    <t>APLICAÇÃO MANUAL DE PINTURA COM TINTA LÁTEX ACRÍLICA EM TETO, DUAS DEMÃOS. AF_06/2014</t>
  </si>
  <si>
    <t>6.8</t>
  </si>
  <si>
    <t>6.9</t>
  </si>
  <si>
    <t>Cotação - Tabela 2021 Prefeitura de Cuiabá item 136</t>
  </si>
  <si>
    <t>ART/CREA DE EXECUÇÃO - AREA ATÉ 15.000 R$</t>
  </si>
  <si>
    <t>DEMOLIÇÃO ARGAMASSA</t>
  </si>
  <si>
    <t>Perímetro</t>
  </si>
  <si>
    <t>A</t>
  </si>
  <si>
    <t>COMPOSIÇÃO UNITÁRIA</t>
  </si>
  <si>
    <t>REFORMA NAC - JUINA MT</t>
  </si>
  <si>
    <t>09/2021</t>
  </si>
  <si>
    <t>ADESIVO ESTRUTURAL A BASE DE RESINA EPOXI PARA INJECAO EM TRINCAS, BICOMPONENTE, BAIXA VISCOSIDADE</t>
  </si>
  <si>
    <t>VALOR TOTAL</t>
  </si>
  <si>
    <t>Valor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</si>
</sst>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b/>
      <sz val="16"/>
      <color theme="1"/>
      <name val="Courier New"/>
      <family val="3"/>
    </font>
    <font>
      <b/>
      <sz val="12"/>
      <color theme="1"/>
      <name val="Courier New"/>
      <family val="3"/>
    </font>
    <font>
      <sz val="11"/>
      <color theme="0"/>
      <name val="Courier New"/>
      <family val="3"/>
    </font>
    <font>
      <b/>
      <sz val="12"/>
      <name val="Courier New"/>
      <family val="3"/>
    </font>
    <font>
      <b/>
      <sz val="11"/>
      <color theme="1"/>
      <name val="Courier New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color rgb="FF000000"/>
      <name val="Courier New"/>
      <family val="3"/>
    </font>
    <font>
      <sz val="11"/>
      <color rgb="FF000000"/>
      <name val="Courier New"/>
      <family val="3"/>
    </font>
    <font>
      <b/>
      <sz val="1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6" fillId="2" borderId="0" xfId="0" applyFont="1" applyFill="1"/>
    <xf numFmtId="0" fontId="6" fillId="0" borderId="0" xfId="0" applyFont="1"/>
    <xf numFmtId="0" fontId="7" fillId="0" borderId="0" xfId="0" applyFont="1" applyAlignment="1">
      <alignment horizontal="left" wrapText="1"/>
    </xf>
    <xf numFmtId="164" fontId="6" fillId="0" borderId="0" xfId="0" applyNumberFormat="1" applyFont="1"/>
    <xf numFmtId="164" fontId="8" fillId="2" borderId="15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9" fontId="10" fillId="2" borderId="8" xfId="0" applyNumberFormat="1" applyFont="1" applyFill="1" applyBorder="1" applyAlignment="1"/>
    <xf numFmtId="164" fontId="8" fillId="2" borderId="1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/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12" fillId="3" borderId="4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164" fontId="12" fillId="2" borderId="12" xfId="0" applyNumberFormat="1" applyFont="1" applyFill="1" applyBorder="1" applyAlignment="1">
      <alignment vertical="center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9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 applyAlignment="1"/>
    <xf numFmtId="164" fontId="12" fillId="3" borderId="4" xfId="0" applyNumberFormat="1" applyFont="1" applyFill="1" applyBorder="1" applyAlignment="1"/>
    <xf numFmtId="0" fontId="12" fillId="3" borderId="12" xfId="0" applyFont="1" applyFill="1" applyBorder="1" applyAlignment="1"/>
    <xf numFmtId="164" fontId="6" fillId="0" borderId="0" xfId="0" applyNumberFormat="1" applyFont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" fontId="6" fillId="0" borderId="0" xfId="0" applyNumberFormat="1" applyFont="1"/>
    <xf numFmtId="165" fontId="6" fillId="0" borderId="0" xfId="0" applyNumberFormat="1" applyFont="1"/>
    <xf numFmtId="164" fontId="12" fillId="2" borderId="1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4" fontId="13" fillId="2" borderId="1" xfId="4" applyFont="1" applyFill="1" applyBorder="1" applyAlignment="1">
      <alignment horizontal="center" vertical="center"/>
    </xf>
    <xf numFmtId="0" fontId="14" fillId="2" borderId="0" xfId="0" applyFont="1" applyFill="1"/>
    <xf numFmtId="0" fontId="0" fillId="2" borderId="0" xfId="0" applyFill="1"/>
    <xf numFmtId="0" fontId="13" fillId="2" borderId="1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4" fontId="14" fillId="2" borderId="1" xfId="4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4" fontId="13" fillId="0" borderId="1" xfId="4" applyFont="1" applyBorder="1" applyAlignment="1">
      <alignment horizontal="center" vertical="center"/>
    </xf>
    <xf numFmtId="44" fontId="15" fillId="0" borderId="1" xfId="4" applyFont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164" fontId="12" fillId="3" borderId="19" xfId="0" applyNumberFormat="1" applyFont="1" applyFill="1" applyBorder="1" applyAlignment="1"/>
    <xf numFmtId="0" fontId="6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2" fillId="3" borderId="22" xfId="0" applyFont="1" applyFill="1" applyBorder="1" applyAlignment="1"/>
    <xf numFmtId="0" fontId="12" fillId="3" borderId="22" xfId="0" applyFont="1" applyFill="1" applyBorder="1" applyAlignment="1">
      <alignment horizontal="left" wrapText="1"/>
    </xf>
    <xf numFmtId="164" fontId="12" fillId="3" borderId="22" xfId="0" applyNumberFormat="1" applyFont="1" applyFill="1" applyBorder="1" applyAlignment="1">
      <alignment horizontal="center" vertical="center"/>
    </xf>
    <xf numFmtId="164" fontId="12" fillId="3" borderId="22" xfId="0" applyNumberFormat="1" applyFont="1" applyFill="1" applyBorder="1" applyAlignment="1"/>
    <xf numFmtId="0" fontId="4" fillId="3" borderId="22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center" vertical="center"/>
    </xf>
    <xf numFmtId="4" fontId="6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right" vertical="center"/>
    </xf>
    <xf numFmtId="164" fontId="12" fillId="2" borderId="19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4" fontId="18" fillId="2" borderId="1" xfId="13" applyFont="1" applyFill="1" applyBorder="1" applyAlignment="1">
      <alignment horizontal="center" vertical="center"/>
    </xf>
    <xf numFmtId="0" fontId="19" fillId="2" borderId="0" xfId="0" applyFont="1" applyFill="1"/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center" vertical="center"/>
    </xf>
    <xf numFmtId="44" fontId="20" fillId="0" borderId="1" xfId="13" applyFont="1" applyBorder="1" applyAlignment="1">
      <alignment horizontal="left" vertical="center"/>
    </xf>
    <xf numFmtId="44" fontId="19" fillId="0" borderId="1" xfId="13" applyFont="1" applyBorder="1" applyAlignment="1">
      <alignment vertical="center"/>
    </xf>
    <xf numFmtId="44" fontId="19" fillId="0" borderId="0" xfId="0" applyNumberFormat="1" applyFont="1"/>
    <xf numFmtId="0" fontId="19" fillId="0" borderId="0" xfId="0" applyFont="1"/>
    <xf numFmtId="0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left" vertical="center" wrapText="1"/>
    </xf>
    <xf numFmtId="44" fontId="19" fillId="2" borderId="1" xfId="4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4" fontId="18" fillId="2" borderId="1" xfId="4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wrapText="1"/>
    </xf>
    <xf numFmtId="2" fontId="15" fillId="0" borderId="1" xfId="0" applyNumberFormat="1" applyFont="1" applyBorder="1" applyAlignment="1">
      <alignment horizontal="center" vertical="center"/>
    </xf>
    <xf numFmtId="44" fontId="14" fillId="0" borderId="1" xfId="4" applyFont="1" applyBorder="1" applyAlignment="1">
      <alignment vertical="center"/>
    </xf>
    <xf numFmtId="44" fontId="14" fillId="0" borderId="1" xfId="4" applyFont="1" applyBorder="1"/>
    <xf numFmtId="0" fontId="13" fillId="2" borderId="1" xfId="0" applyFont="1" applyFill="1" applyBorder="1" applyAlignment="1">
      <alignment horizontal="left" vertical="center" wrapText="1"/>
    </xf>
    <xf numFmtId="44" fontId="13" fillId="2" borderId="1" xfId="4" applyFont="1" applyFill="1" applyBorder="1" applyAlignment="1">
      <alignment vertical="center"/>
    </xf>
    <xf numFmtId="44" fontId="13" fillId="2" borderId="1" xfId="4" applyFont="1" applyFill="1" applyBorder="1"/>
    <xf numFmtId="0" fontId="1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44" fontId="21" fillId="3" borderId="3" xfId="4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44" fontId="5" fillId="0" borderId="3" xfId="4" applyFont="1" applyFill="1" applyBorder="1" applyAlignment="1">
      <alignment horizontal="center" vertical="center"/>
    </xf>
    <xf numFmtId="44" fontId="21" fillId="2" borderId="3" xfId="4" applyFont="1" applyFill="1" applyBorder="1" applyAlignment="1">
      <alignment horizontal="center" vertical="center"/>
    </xf>
    <xf numFmtId="44" fontId="5" fillId="2" borderId="4" xfId="4" applyFont="1" applyFill="1" applyBorder="1" applyAlignment="1">
      <alignment horizontal="center" vertical="center"/>
    </xf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3" borderId="1" xfId="0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/>
    <xf numFmtId="0" fontId="15" fillId="0" borderId="1" xfId="0" applyFont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44" fontId="21" fillId="2" borderId="1" xfId="4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44" fontId="22" fillId="4" borderId="1" xfId="4" applyFont="1" applyFill="1" applyBorder="1" applyAlignment="1">
      <alignment horizontal="center" vertical="center"/>
    </xf>
    <xf numFmtId="44" fontId="6" fillId="4" borderId="1" xfId="4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4" fontId="5" fillId="2" borderId="1" xfId="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164" fontId="5" fillId="2" borderId="5" xfId="4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  <xf numFmtId="4" fontId="5" fillId="2" borderId="11" xfId="0" applyNumberFormat="1" applyFont="1" applyFill="1" applyBorder="1" applyAlignment="1">
      <alignment horizontal="center" vertical="center"/>
    </xf>
    <xf numFmtId="164" fontId="5" fillId="2" borderId="11" xfId="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11" xfId="0" applyFont="1" applyFill="1" applyBorder="1" applyAlignment="1">
      <alignment vertical="center" wrapText="1"/>
    </xf>
    <xf numFmtId="4" fontId="13" fillId="2" borderId="11" xfId="0" applyNumberFormat="1" applyFont="1" applyFill="1" applyBorder="1" applyAlignment="1">
      <alignment horizontal="center" vertical="center"/>
    </xf>
    <xf numFmtId="44" fontId="13" fillId="2" borderId="11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9" fillId="3" borderId="4" xfId="0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wrapText="1"/>
    </xf>
    <xf numFmtId="0" fontId="12" fillId="5" borderId="3" xfId="0" applyFont="1" applyFill="1" applyBorder="1" applyAlignment="1"/>
    <xf numFmtId="164" fontId="12" fillId="5" borderId="3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/>
    <xf numFmtId="164" fontId="12" fillId="5" borderId="4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4" fontId="4" fillId="5" borderId="1" xfId="4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5" borderId="1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left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 wrapText="1"/>
    </xf>
    <xf numFmtId="164" fontId="12" fillId="5" borderId="14" xfId="0" applyNumberFormat="1" applyFont="1" applyFill="1" applyBorder="1" applyAlignment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4" fontId="22" fillId="5" borderId="1" xfId="4" applyFont="1" applyFill="1" applyBorder="1" applyAlignment="1">
      <alignment horizontal="center" vertical="center"/>
    </xf>
    <xf numFmtId="44" fontId="22" fillId="5" borderId="2" xfId="4" applyFont="1" applyFill="1" applyBorder="1" applyAlignment="1">
      <alignment horizontal="center" vertical="center"/>
    </xf>
    <xf numFmtId="44" fontId="12" fillId="5" borderId="25" xfId="4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2" fontId="21" fillId="5" borderId="1" xfId="0" applyNumberFormat="1" applyFont="1" applyFill="1" applyBorder="1" applyAlignment="1">
      <alignment horizontal="center" vertical="center"/>
    </xf>
    <xf numFmtId="44" fontId="21" fillId="5" borderId="1" xfId="4" applyFont="1" applyFill="1" applyBorder="1" applyAlignment="1">
      <alignment horizontal="center" vertical="center"/>
    </xf>
    <xf numFmtId="44" fontId="5" fillId="5" borderId="11" xfId="4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44" fontId="5" fillId="5" borderId="1" xfId="4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44" fontId="21" fillId="5" borderId="3" xfId="4" applyFont="1" applyFill="1" applyBorder="1" applyAlignment="1">
      <alignment horizontal="center" vertical="center"/>
    </xf>
    <xf numFmtId="44" fontId="5" fillId="5" borderId="3" xfId="4" applyFont="1" applyFill="1" applyBorder="1" applyAlignment="1">
      <alignment horizontal="center" vertical="center"/>
    </xf>
    <xf numFmtId="44" fontId="5" fillId="5" borderId="4" xfId="4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5" fillId="5" borderId="11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5" borderId="22" xfId="0" applyFont="1" applyFill="1" applyBorder="1" applyAlignment="1">
      <alignment horizontal="left" wrapText="1"/>
    </xf>
    <xf numFmtId="0" fontId="4" fillId="5" borderId="22" xfId="0" applyFont="1" applyFill="1" applyBorder="1" applyAlignment="1">
      <alignment horizontal="center" vertical="center"/>
    </xf>
    <xf numFmtId="4" fontId="5" fillId="5" borderId="22" xfId="0" applyNumberFormat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4" fontId="5" fillId="5" borderId="22" xfId="0" applyNumberFormat="1" applyFont="1" applyFill="1" applyBorder="1" applyAlignment="1">
      <alignment horizontal="right" vertical="center"/>
    </xf>
    <xf numFmtId="4" fontId="6" fillId="5" borderId="22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right" vertical="center"/>
    </xf>
    <xf numFmtId="164" fontId="12" fillId="5" borderId="19" xfId="0" applyNumberFormat="1" applyFont="1" applyFill="1" applyBorder="1" applyAlignment="1">
      <alignment vertical="center"/>
    </xf>
    <xf numFmtId="0" fontId="12" fillId="5" borderId="22" xfId="0" applyFont="1" applyFill="1" applyBorder="1" applyAlignment="1">
      <alignment horizontal="left" wrapText="1"/>
    </xf>
    <xf numFmtId="0" fontId="12" fillId="5" borderId="22" xfId="0" applyFont="1" applyFill="1" applyBorder="1" applyAlignment="1"/>
    <xf numFmtId="164" fontId="12" fillId="5" borderId="22" xfId="0" applyNumberFormat="1" applyFont="1" applyFill="1" applyBorder="1" applyAlignment="1">
      <alignment horizontal="center" vertical="center"/>
    </xf>
    <xf numFmtId="164" fontId="12" fillId="5" borderId="22" xfId="0" applyNumberFormat="1" applyFont="1" applyFill="1" applyBorder="1" applyAlignment="1"/>
    <xf numFmtId="164" fontId="12" fillId="5" borderId="19" xfId="0" applyNumberFormat="1" applyFont="1" applyFill="1" applyBorder="1" applyAlignment="1"/>
    <xf numFmtId="0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164" fontId="5" fillId="5" borderId="1" xfId="4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164" fontId="5" fillId="5" borderId="5" xfId="4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164" fontId="12" fillId="5" borderId="2" xfId="0" applyNumberFormat="1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5" borderId="12" xfId="0" applyFont="1" applyFill="1" applyBorder="1" applyAlignment="1">
      <alignment horizontal="center" vertical="center"/>
    </xf>
    <xf numFmtId="164" fontId="12" fillId="5" borderId="12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164" fontId="6" fillId="5" borderId="3" xfId="0" applyNumberFormat="1" applyFont="1" applyFill="1" applyBorder="1" applyAlignment="1">
      <alignment horizontal="right" vertical="center"/>
    </xf>
    <xf numFmtId="0" fontId="12" fillId="5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wrapText="1"/>
    </xf>
    <xf numFmtId="4" fontId="5" fillId="5" borderId="11" xfId="0" applyNumberFormat="1" applyFont="1" applyFill="1" applyBorder="1" applyAlignment="1">
      <alignment horizontal="center" vertical="center"/>
    </xf>
    <xf numFmtId="164" fontId="5" fillId="5" borderId="11" xfId="4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wrapText="1"/>
    </xf>
    <xf numFmtId="164" fontId="9" fillId="0" borderId="17" xfId="0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6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1488887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59" y="622301"/>
          <a:ext cx="1487299" cy="459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154858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63498</xdr:rowOff>
    </xdr:from>
    <xdr:to>
      <xdr:col>20</xdr:col>
      <xdr:colOff>150114</xdr:colOff>
      <xdr:row>36</xdr:row>
      <xdr:rowOff>5062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63498"/>
          <a:ext cx="11681714" cy="6570964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</xdr:colOff>
      <xdr:row>39</xdr:row>
      <xdr:rowOff>107950</xdr:rowOff>
    </xdr:from>
    <xdr:to>
      <xdr:col>20</xdr:col>
      <xdr:colOff>223491</xdr:colOff>
      <xdr:row>73</xdr:row>
      <xdr:rowOff>132064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264"/>
        <a:stretch/>
      </xdr:blipFill>
      <xdr:spPr>
        <a:xfrm>
          <a:off x="620888" y="7289800"/>
          <a:ext cx="11794603" cy="628521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79</xdr:row>
      <xdr:rowOff>63500</xdr:rowOff>
    </xdr:from>
    <xdr:to>
      <xdr:col>14</xdr:col>
      <xdr:colOff>118364</xdr:colOff>
      <xdr:row>111</xdr:row>
      <xdr:rowOff>113013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284" t="5132"/>
        <a:stretch/>
      </xdr:blipFill>
      <xdr:spPr>
        <a:xfrm>
          <a:off x="666750" y="14611350"/>
          <a:ext cx="7986014" cy="5942313"/>
        </a:xfrm>
        <a:prstGeom prst="rect">
          <a:avLst/>
        </a:prstGeom>
      </xdr:spPr>
    </xdr:pic>
    <xdr:clientData/>
  </xdr:twoCellAnchor>
  <xdr:twoCellAnchor>
    <xdr:from>
      <xdr:col>2</xdr:col>
      <xdr:colOff>513292</xdr:colOff>
      <xdr:row>89</xdr:row>
      <xdr:rowOff>0</xdr:rowOff>
    </xdr:from>
    <xdr:to>
      <xdr:col>11</xdr:col>
      <xdr:colOff>465667</xdr:colOff>
      <xdr:row>89</xdr:row>
      <xdr:rowOff>158750</xdr:rowOff>
    </xdr:to>
    <xdr:sp macro="" textlink="">
      <xdr:nvSpPr>
        <xdr:cNvPr id="6" name="Retângulo 5"/>
        <xdr:cNvSpPr/>
      </xdr:nvSpPr>
      <xdr:spPr>
        <a:xfrm>
          <a:off x="1730375" y="16483542"/>
          <a:ext cx="5429250" cy="158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481541</xdr:colOff>
      <xdr:row>113</xdr:row>
      <xdr:rowOff>132290</xdr:rowOff>
    </xdr:from>
    <xdr:to>
      <xdr:col>11</xdr:col>
      <xdr:colOff>365125</xdr:colOff>
      <xdr:row>138</xdr:row>
      <xdr:rowOff>25171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5001" r="22291"/>
        <a:stretch/>
      </xdr:blipFill>
      <xdr:spPr>
        <a:xfrm>
          <a:off x="481541" y="21060832"/>
          <a:ext cx="6577542" cy="4523089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125</xdr:row>
      <xdr:rowOff>132291</xdr:rowOff>
    </xdr:from>
    <xdr:to>
      <xdr:col>10</xdr:col>
      <xdr:colOff>37041</xdr:colOff>
      <xdr:row>125</xdr:row>
      <xdr:rowOff>137583</xdr:rowOff>
    </xdr:to>
    <xdr:cxnSp macro="">
      <xdr:nvCxnSpPr>
        <xdr:cNvPr id="9" name="Conector reto 8"/>
        <xdr:cNvCxnSpPr/>
      </xdr:nvCxnSpPr>
      <xdr:spPr>
        <a:xfrm>
          <a:off x="1270000" y="23283333"/>
          <a:ext cx="4852458" cy="52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368651</xdr:colOff>
      <xdr:row>139</xdr:row>
      <xdr:rowOff>5292</xdr:rowOff>
    </xdr:from>
    <xdr:to>
      <xdr:col>12</xdr:col>
      <xdr:colOff>373421</xdr:colOff>
      <xdr:row>161</xdr:row>
      <xdr:rowOff>41047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8651" y="25749250"/>
          <a:ext cx="7307270" cy="411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H70"/>
  <sheetViews>
    <sheetView zoomScale="80" zoomScaleNormal="80" workbookViewId="0">
      <selection activeCell="I90" sqref="I90"/>
    </sheetView>
  </sheetViews>
  <sheetFormatPr defaultColWidth="9.140625" defaultRowHeight="15" x14ac:dyDescent="0.25"/>
  <cols>
    <col min="1" max="1" width="4.85546875" style="1" customWidth="1"/>
    <col min="2" max="2" width="9.85546875" style="2" customWidth="1"/>
    <col min="3" max="3" width="0.140625" style="2" hidden="1" customWidth="1"/>
    <col min="4" max="4" width="72.85546875" style="3" customWidth="1"/>
    <col min="5" max="5" width="5.7109375" style="2" hidden="1" customWidth="1"/>
    <col min="6" max="6" width="9.140625" style="2" hidden="1" customWidth="1"/>
    <col min="7" max="7" width="3.140625" style="44" hidden="1" customWidth="1"/>
    <col min="8" max="8" width="0.42578125" style="4" hidden="1" customWidth="1"/>
    <col min="9" max="9" width="22.5703125" style="4" customWidth="1"/>
    <col min="10" max="10" width="1.140625" style="1" customWidth="1"/>
    <col min="11" max="11" width="21.85546875" style="2" customWidth="1"/>
    <col min="12" max="16384" width="9.140625" style="2"/>
  </cols>
  <sheetData>
    <row r="2" spans="1:34" ht="21" hidden="1" x14ac:dyDescent="0.25">
      <c r="B2" s="315" t="s">
        <v>107</v>
      </c>
      <c r="C2" s="316"/>
      <c r="D2" s="316"/>
      <c r="E2" s="316"/>
      <c r="F2" s="316"/>
      <c r="G2" s="316"/>
      <c r="H2" s="5"/>
      <c r="I2" s="321" t="s">
        <v>18</v>
      </c>
      <c r="J2" s="323"/>
    </row>
    <row r="3" spans="1:34" ht="23.25" hidden="1" customHeight="1" thickBot="1" x14ac:dyDescent="0.3">
      <c r="B3" s="317"/>
      <c r="C3" s="318"/>
      <c r="D3" s="318"/>
      <c r="E3" s="318"/>
      <c r="F3" s="318"/>
      <c r="G3" s="318"/>
      <c r="H3" s="6"/>
      <c r="I3" s="322"/>
      <c r="J3" s="323"/>
    </row>
    <row r="4" spans="1:34" ht="15" hidden="1" customHeight="1" x14ac:dyDescent="0.25">
      <c r="B4" s="317"/>
      <c r="C4" s="318"/>
      <c r="D4" s="318"/>
      <c r="E4" s="318"/>
      <c r="F4" s="318"/>
      <c r="G4" s="318"/>
      <c r="H4" s="6"/>
      <c r="I4" s="324" t="s">
        <v>202</v>
      </c>
      <c r="J4" s="7">
        <v>0.24510000000000001</v>
      </c>
    </row>
    <row r="5" spans="1:34" ht="33" hidden="1" customHeight="1" thickBot="1" x14ac:dyDescent="0.3">
      <c r="B5" s="319"/>
      <c r="C5" s="320"/>
      <c r="D5" s="320"/>
      <c r="E5" s="320"/>
      <c r="F5" s="320"/>
      <c r="G5" s="320"/>
      <c r="H5" s="8"/>
      <c r="I5" s="325"/>
      <c r="J5" s="9"/>
    </row>
    <row r="6" spans="1:34" ht="6" customHeight="1" thickBot="1" x14ac:dyDescent="0.3">
      <c r="B6" s="1"/>
      <c r="C6" s="1"/>
      <c r="D6" s="10"/>
      <c r="E6" s="11"/>
      <c r="F6" s="11"/>
      <c r="G6" s="24"/>
      <c r="H6" s="12"/>
      <c r="I6" s="12"/>
    </row>
    <row r="7" spans="1:34" ht="30.95" customHeight="1" thickBot="1" x14ac:dyDescent="0.3">
      <c r="B7" s="32" t="s">
        <v>2</v>
      </c>
      <c r="C7" s="32" t="s">
        <v>8</v>
      </c>
      <c r="D7" s="33" t="s">
        <v>3</v>
      </c>
      <c r="E7" s="34" t="s">
        <v>4</v>
      </c>
      <c r="F7" s="34" t="s">
        <v>57</v>
      </c>
      <c r="G7" s="35" t="s">
        <v>62</v>
      </c>
      <c r="H7" s="36" t="s">
        <v>25</v>
      </c>
      <c r="I7" s="37" t="s">
        <v>205</v>
      </c>
      <c r="J7" s="13"/>
    </row>
    <row r="8" spans="1:34" ht="15.75" x14ac:dyDescent="0.3">
      <c r="B8" s="216">
        <v>1</v>
      </c>
      <c r="C8" s="217"/>
      <c r="D8" s="218" t="s">
        <v>52</v>
      </c>
      <c r="E8" s="219"/>
      <c r="F8" s="219"/>
      <c r="G8" s="220"/>
      <c r="H8" s="221"/>
      <c r="I8" s="222">
        <f>I11</f>
        <v>5542.0281000000004</v>
      </c>
    </row>
    <row r="9" spans="1:34" s="1" customFormat="1" hidden="1" x14ac:dyDescent="0.25">
      <c r="B9" s="223" t="s">
        <v>64</v>
      </c>
      <c r="C9" s="224">
        <v>2707</v>
      </c>
      <c r="D9" s="225" t="s">
        <v>53</v>
      </c>
      <c r="E9" s="226" t="s">
        <v>31</v>
      </c>
      <c r="F9" s="227">
        <v>24</v>
      </c>
      <c r="G9" s="228">
        <v>103.04</v>
      </c>
      <c r="H9" s="229">
        <f>G9*1.2555</f>
        <v>129.36672000000002</v>
      </c>
      <c r="I9" s="230">
        <f>H9*F9</f>
        <v>3104.8012800000006</v>
      </c>
    </row>
    <row r="10" spans="1:34" s="1" customFormat="1" hidden="1" x14ac:dyDescent="0.25">
      <c r="B10" s="223" t="s">
        <v>65</v>
      </c>
      <c r="C10" s="231" t="s">
        <v>59</v>
      </c>
      <c r="D10" s="232" t="s">
        <v>58</v>
      </c>
      <c r="E10" s="226" t="s">
        <v>31</v>
      </c>
      <c r="F10" s="227">
        <v>84</v>
      </c>
      <c r="G10" s="228">
        <v>23.11</v>
      </c>
      <c r="H10" s="229">
        <f>G10*1.2555</f>
        <v>29.014605</v>
      </c>
      <c r="I10" s="230">
        <f>H10*F10</f>
        <v>2437.2268199999999</v>
      </c>
    </row>
    <row r="11" spans="1:34" s="80" customFormat="1" ht="15.75" hidden="1" x14ac:dyDescent="0.25">
      <c r="A11" s="1"/>
      <c r="B11" s="223"/>
      <c r="C11" s="233"/>
      <c r="D11" s="234"/>
      <c r="E11" s="235"/>
      <c r="F11" s="236"/>
      <c r="G11" s="237" t="s">
        <v>1</v>
      </c>
      <c r="H11" s="238"/>
      <c r="I11" s="238">
        <f>SUM(I9:I10)</f>
        <v>5542.0281000000004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1" customFormat="1" ht="15.75" hidden="1" x14ac:dyDescent="0.25">
      <c r="B12" s="223"/>
      <c r="C12" s="233"/>
      <c r="D12" s="239"/>
      <c r="E12" s="235"/>
      <c r="F12" s="236"/>
      <c r="G12" s="237"/>
      <c r="H12" s="238"/>
      <c r="I12" s="240"/>
    </row>
    <row r="13" spans="1:34" ht="15.75" x14ac:dyDescent="0.3">
      <c r="A13" s="2"/>
      <c r="B13" s="241">
        <v>2</v>
      </c>
      <c r="C13" s="242"/>
      <c r="D13" s="243" t="s">
        <v>105</v>
      </c>
      <c r="E13" s="244"/>
      <c r="F13" s="245"/>
      <c r="G13" s="246"/>
      <c r="H13" s="247"/>
      <c r="I13" s="248">
        <f>I17</f>
        <v>1577.02</v>
      </c>
      <c r="J13" s="2"/>
    </row>
    <row r="14" spans="1:34" s="154" customFormat="1" ht="17.25" hidden="1" customHeight="1" x14ac:dyDescent="0.25">
      <c r="B14" s="226" t="s">
        <v>66</v>
      </c>
      <c r="C14" s="249" t="s">
        <v>79</v>
      </c>
      <c r="D14" s="250" t="s">
        <v>92</v>
      </c>
      <c r="E14" s="251" t="s">
        <v>32</v>
      </c>
      <c r="F14" s="252">
        <v>1</v>
      </c>
      <c r="G14" s="253">
        <f>Composições!G37</f>
        <v>457.40999999999997</v>
      </c>
      <c r="H14" s="253">
        <f>G14*1.255</f>
        <v>574.04954999999995</v>
      </c>
      <c r="I14" s="254">
        <f>TRUNC(H14*F14,2)</f>
        <v>574.04</v>
      </c>
    </row>
    <row r="15" spans="1:34" s="154" customFormat="1" ht="27" hidden="1" x14ac:dyDescent="0.25">
      <c r="B15" s="226" t="s">
        <v>89</v>
      </c>
      <c r="C15" s="224" t="s">
        <v>127</v>
      </c>
      <c r="D15" s="255" t="s">
        <v>93</v>
      </c>
      <c r="E15" s="224" t="s">
        <v>0</v>
      </c>
      <c r="F15" s="256">
        <v>1</v>
      </c>
      <c r="G15" s="257">
        <f>Composições!G42</f>
        <v>299.19400000000002</v>
      </c>
      <c r="H15" s="253">
        <f>G15*1.255</f>
        <v>375.48847000000001</v>
      </c>
      <c r="I15" s="257">
        <f>TRUNC(H15*F15,2)</f>
        <v>375.48</v>
      </c>
    </row>
    <row r="16" spans="1:34" s="154" customFormat="1" ht="15" hidden="1" customHeight="1" x14ac:dyDescent="0.25">
      <c r="B16" s="226" t="s">
        <v>145</v>
      </c>
      <c r="C16" s="224" t="s">
        <v>90</v>
      </c>
      <c r="D16" s="255" t="s">
        <v>91</v>
      </c>
      <c r="E16" s="224" t="s">
        <v>32</v>
      </c>
      <c r="F16" s="256">
        <v>2</v>
      </c>
      <c r="G16" s="257">
        <v>250</v>
      </c>
      <c r="H16" s="253">
        <f>G16*1.255</f>
        <v>313.75</v>
      </c>
      <c r="I16" s="257">
        <f>TRUNC(H16*F16,2)</f>
        <v>627.5</v>
      </c>
    </row>
    <row r="17" spans="1:34" s="151" customFormat="1" ht="15" hidden="1" customHeight="1" x14ac:dyDescent="0.25">
      <c r="B17" s="226"/>
      <c r="C17" s="258"/>
      <c r="D17" s="259"/>
      <c r="E17" s="260"/>
      <c r="F17" s="261"/>
      <c r="G17" s="237" t="s">
        <v>1</v>
      </c>
      <c r="H17" s="262"/>
      <c r="I17" s="238">
        <f>SUM(I14:I16)</f>
        <v>1577.02</v>
      </c>
    </row>
    <row r="18" spans="1:34" s="151" customFormat="1" ht="15" hidden="1" customHeight="1" x14ac:dyDescent="0.25">
      <c r="B18" s="226"/>
      <c r="C18" s="258"/>
      <c r="D18" s="259"/>
      <c r="E18" s="260"/>
      <c r="F18" s="261"/>
      <c r="G18" s="263"/>
      <c r="H18" s="262"/>
      <c r="I18" s="264"/>
    </row>
    <row r="19" spans="1:34" ht="15.75" x14ac:dyDescent="0.3">
      <c r="B19" s="216">
        <v>3</v>
      </c>
      <c r="C19" s="217"/>
      <c r="D19" s="218" t="s">
        <v>81</v>
      </c>
      <c r="E19" s="219"/>
      <c r="F19" s="219"/>
      <c r="G19" s="220"/>
      <c r="H19" s="221"/>
      <c r="I19" s="222">
        <f>I22</f>
        <v>1899.6217200000001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154" customFormat="1" ht="13.5" hidden="1" x14ac:dyDescent="0.25">
      <c r="B20" s="224" t="s">
        <v>67</v>
      </c>
      <c r="C20" s="226" t="s">
        <v>126</v>
      </c>
      <c r="D20" s="265" t="s">
        <v>82</v>
      </c>
      <c r="E20" s="226" t="s">
        <v>32</v>
      </c>
      <c r="F20" s="266">
        <v>1</v>
      </c>
      <c r="G20" s="228">
        <f>Composições!G29</f>
        <v>756.52</v>
      </c>
      <c r="H20" s="267">
        <f>G20*1.2555</f>
        <v>949.81086000000005</v>
      </c>
      <c r="I20" s="268">
        <f>H20*F20</f>
        <v>949.81086000000005</v>
      </c>
    </row>
    <row r="21" spans="1:34" s="154" customFormat="1" ht="13.5" hidden="1" x14ac:dyDescent="0.25">
      <c r="B21" s="224" t="s">
        <v>63</v>
      </c>
      <c r="C21" s="269" t="s">
        <v>60</v>
      </c>
      <c r="D21" s="265" t="s">
        <v>85</v>
      </c>
      <c r="E21" s="226" t="s">
        <v>32</v>
      </c>
      <c r="F21" s="266">
        <v>1</v>
      </c>
      <c r="G21" s="228">
        <f>Composições!G33</f>
        <v>756.52</v>
      </c>
      <c r="H21" s="267">
        <f>G21*1.2555</f>
        <v>949.81086000000005</v>
      </c>
      <c r="I21" s="268">
        <f>H21*F21</f>
        <v>949.81086000000005</v>
      </c>
    </row>
    <row r="22" spans="1:34" s="158" customFormat="1" ht="15.75" hidden="1" x14ac:dyDescent="0.25">
      <c r="A22" s="154"/>
      <c r="B22" s="224"/>
      <c r="C22" s="233"/>
      <c r="D22" s="270"/>
      <c r="E22" s="271"/>
      <c r="F22" s="272"/>
      <c r="G22" s="273" t="s">
        <v>1</v>
      </c>
      <c r="H22" s="274"/>
      <c r="I22" s="238">
        <f>SUM(I20:I21)</f>
        <v>1899.6217200000001</v>
      </c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4" s="1" customFormat="1" ht="15.75" hidden="1" x14ac:dyDescent="0.25">
      <c r="B23" s="223"/>
      <c r="C23" s="233"/>
      <c r="D23" s="270"/>
      <c r="E23" s="271"/>
      <c r="F23" s="275"/>
      <c r="G23" s="273"/>
      <c r="H23" s="276"/>
      <c r="I23" s="277"/>
    </row>
    <row r="24" spans="1:34" ht="15.75" x14ac:dyDescent="0.3">
      <c r="B24" s="216">
        <v>4</v>
      </c>
      <c r="C24" s="217"/>
      <c r="D24" s="278" t="s">
        <v>9</v>
      </c>
      <c r="E24" s="279"/>
      <c r="F24" s="279"/>
      <c r="G24" s="280"/>
      <c r="H24" s="281"/>
      <c r="I24" s="282">
        <f>I36</f>
        <v>71601.797696669993</v>
      </c>
    </row>
    <row r="25" spans="1:34" s="154" customFormat="1" ht="13.5" hidden="1" x14ac:dyDescent="0.25">
      <c r="B25" s="224" t="s">
        <v>68</v>
      </c>
      <c r="C25" s="283" t="s">
        <v>125</v>
      </c>
      <c r="D25" s="284" t="s">
        <v>77</v>
      </c>
      <c r="E25" s="226" t="s">
        <v>6</v>
      </c>
      <c r="F25" s="266">
        <v>22.4</v>
      </c>
      <c r="G25" s="228">
        <f>Composições!G26</f>
        <v>2.9811000000000001</v>
      </c>
      <c r="H25" s="267">
        <f t="shared" ref="H25:H35" si="0">G25*1.2555</f>
        <v>3.7427710500000004</v>
      </c>
      <c r="I25" s="268">
        <f t="shared" ref="I25:I35" si="1">H25*F25</f>
        <v>83.83807152</v>
      </c>
    </row>
    <row r="26" spans="1:34" s="154" customFormat="1" ht="27" hidden="1" x14ac:dyDescent="0.25">
      <c r="B26" s="224" t="s">
        <v>117</v>
      </c>
      <c r="C26" s="283">
        <v>97647</v>
      </c>
      <c r="D26" s="265" t="s">
        <v>55</v>
      </c>
      <c r="E26" s="226" t="s">
        <v>0</v>
      </c>
      <c r="F26" s="266">
        <v>280.83999999999997</v>
      </c>
      <c r="G26" s="228">
        <v>2.5499999999999998</v>
      </c>
      <c r="H26" s="267">
        <f t="shared" si="0"/>
        <v>3.2015249999999997</v>
      </c>
      <c r="I26" s="268">
        <f t="shared" si="1"/>
        <v>899.11628099999984</v>
      </c>
    </row>
    <row r="27" spans="1:34" s="154" customFormat="1" ht="27" hidden="1" x14ac:dyDescent="0.25">
      <c r="B27" s="224" t="s">
        <v>118</v>
      </c>
      <c r="C27" s="285">
        <v>97640</v>
      </c>
      <c r="D27" s="265" t="s">
        <v>54</v>
      </c>
      <c r="E27" s="226" t="s">
        <v>0</v>
      </c>
      <c r="F27" s="266">
        <v>223.89</v>
      </c>
      <c r="G27" s="228">
        <v>1.1499999999999999</v>
      </c>
      <c r="H27" s="267">
        <f t="shared" si="0"/>
        <v>1.4438249999999999</v>
      </c>
      <c r="I27" s="268">
        <f t="shared" si="1"/>
        <v>323.25797924999995</v>
      </c>
    </row>
    <row r="28" spans="1:34" s="154" customFormat="1" ht="27" hidden="1" x14ac:dyDescent="0.25">
      <c r="B28" s="224"/>
      <c r="C28" s="231">
        <v>97650</v>
      </c>
      <c r="D28" s="265" t="s">
        <v>167</v>
      </c>
      <c r="E28" s="226" t="s">
        <v>0</v>
      </c>
      <c r="F28" s="266">
        <v>280.83999999999997</v>
      </c>
      <c r="G28" s="228">
        <v>5.5</v>
      </c>
      <c r="H28" s="267">
        <f t="shared" si="0"/>
        <v>6.9052500000000006</v>
      </c>
      <c r="I28" s="268">
        <f t="shared" si="1"/>
        <v>1939.2704100000001</v>
      </c>
    </row>
    <row r="29" spans="1:34" s="154" customFormat="1" ht="27" hidden="1" x14ac:dyDescent="0.25">
      <c r="B29" s="224"/>
      <c r="C29" s="226">
        <v>97651</v>
      </c>
      <c r="D29" s="265" t="s">
        <v>168</v>
      </c>
      <c r="E29" s="226" t="s">
        <v>0</v>
      </c>
      <c r="F29" s="266">
        <v>6</v>
      </c>
      <c r="G29" s="228">
        <v>60.9</v>
      </c>
      <c r="H29" s="267">
        <f t="shared" si="0"/>
        <v>76.459950000000006</v>
      </c>
      <c r="I29" s="268">
        <f t="shared" si="1"/>
        <v>458.75970000000007</v>
      </c>
    </row>
    <row r="30" spans="1:34" s="154" customFormat="1" ht="27" hidden="1" x14ac:dyDescent="0.25">
      <c r="B30" s="224" t="s">
        <v>146</v>
      </c>
      <c r="C30" s="283">
        <v>94218</v>
      </c>
      <c r="D30" s="286" t="s">
        <v>166</v>
      </c>
      <c r="E30" s="226" t="s">
        <v>13</v>
      </c>
      <c r="F30" s="266">
        <v>280.83999999999997</v>
      </c>
      <c r="G30" s="228">
        <v>111.28</v>
      </c>
      <c r="H30" s="267">
        <f t="shared" si="0"/>
        <v>139.71204</v>
      </c>
      <c r="I30" s="268">
        <f t="shared" si="1"/>
        <v>39236.729313599993</v>
      </c>
    </row>
    <row r="31" spans="1:34" s="154" customFormat="1" ht="33" hidden="1" customHeight="1" x14ac:dyDescent="0.25">
      <c r="B31" s="224" t="s">
        <v>147</v>
      </c>
      <c r="C31" s="224">
        <v>94228</v>
      </c>
      <c r="D31" s="287" t="s">
        <v>19</v>
      </c>
      <c r="E31" s="224" t="s">
        <v>6</v>
      </c>
      <c r="F31" s="266">
        <v>22.4</v>
      </c>
      <c r="G31" s="288">
        <v>80.239999999999995</v>
      </c>
      <c r="H31" s="267">
        <f t="shared" si="0"/>
        <v>100.74132</v>
      </c>
      <c r="I31" s="268">
        <f t="shared" si="1"/>
        <v>2256.6055679999999</v>
      </c>
    </row>
    <row r="32" spans="1:34" s="154" customFormat="1" ht="27" hidden="1" x14ac:dyDescent="0.25">
      <c r="B32" s="224" t="s">
        <v>148</v>
      </c>
      <c r="C32" s="224">
        <v>94231</v>
      </c>
      <c r="D32" s="287" t="s">
        <v>20</v>
      </c>
      <c r="E32" s="224" t="s">
        <v>6</v>
      </c>
      <c r="F32" s="266">
        <v>22.4</v>
      </c>
      <c r="G32" s="288">
        <v>47.16</v>
      </c>
      <c r="H32" s="267">
        <f t="shared" si="0"/>
        <v>59.209379999999996</v>
      </c>
      <c r="I32" s="268">
        <f t="shared" si="1"/>
        <v>1326.2901119999999</v>
      </c>
    </row>
    <row r="33" spans="2:9" s="154" customFormat="1" ht="13.5" hidden="1" x14ac:dyDescent="0.25">
      <c r="B33" s="224" t="s">
        <v>149</v>
      </c>
      <c r="C33" s="224" t="s">
        <v>44</v>
      </c>
      <c r="D33" s="289" t="s">
        <v>24</v>
      </c>
      <c r="E33" s="224" t="s">
        <v>0</v>
      </c>
      <c r="F33" s="266">
        <v>20.100000000000001</v>
      </c>
      <c r="G33" s="288">
        <f>Composições!G5</f>
        <v>47.160000000000004</v>
      </c>
      <c r="H33" s="267">
        <f t="shared" si="0"/>
        <v>59.20938000000001</v>
      </c>
      <c r="I33" s="268">
        <f t="shared" si="1"/>
        <v>1190.1085380000002</v>
      </c>
    </row>
    <row r="34" spans="2:9" s="154" customFormat="1" ht="40.5" hidden="1" x14ac:dyDescent="0.25">
      <c r="B34" s="224" t="s">
        <v>150</v>
      </c>
      <c r="C34" s="269">
        <v>92602</v>
      </c>
      <c r="D34" s="290" t="s">
        <v>123</v>
      </c>
      <c r="E34" s="291" t="s">
        <v>13</v>
      </c>
      <c r="F34" s="292">
        <v>6</v>
      </c>
      <c r="G34" s="293">
        <v>762.78</v>
      </c>
      <c r="H34" s="267">
        <f t="shared" si="0"/>
        <v>957.67029000000002</v>
      </c>
      <c r="I34" s="268">
        <f t="shared" si="1"/>
        <v>5746.0217400000001</v>
      </c>
    </row>
    <row r="35" spans="2:9" s="154" customFormat="1" ht="27" hidden="1" x14ac:dyDescent="0.25">
      <c r="B35" s="224" t="s">
        <v>151</v>
      </c>
      <c r="C35" s="226">
        <v>96114</v>
      </c>
      <c r="D35" s="290" t="s">
        <v>124</v>
      </c>
      <c r="E35" s="291" t="s">
        <v>0</v>
      </c>
      <c r="F35" s="292">
        <v>223.89</v>
      </c>
      <c r="G35" s="293">
        <v>64.540000000000006</v>
      </c>
      <c r="H35" s="267">
        <f t="shared" si="0"/>
        <v>81.029970000000006</v>
      </c>
      <c r="I35" s="268">
        <f t="shared" si="1"/>
        <v>18141.799983299999</v>
      </c>
    </row>
    <row r="36" spans="2:9" ht="15.75" hidden="1" x14ac:dyDescent="0.25">
      <c r="B36" s="294"/>
      <c r="C36" s="295"/>
      <c r="D36" s="295"/>
      <c r="E36" s="295"/>
      <c r="F36" s="295"/>
      <c r="G36" s="237" t="s">
        <v>1</v>
      </c>
      <c r="H36" s="296"/>
      <c r="I36" s="238">
        <f>SUM(I25:I35)</f>
        <v>71601.797696669993</v>
      </c>
    </row>
    <row r="37" spans="2:9" ht="15.75" hidden="1" x14ac:dyDescent="0.25">
      <c r="B37" s="297"/>
      <c r="C37" s="298"/>
      <c r="D37" s="298"/>
      <c r="E37" s="298"/>
      <c r="F37" s="298"/>
      <c r="G37" s="299"/>
      <c r="H37" s="300"/>
      <c r="I37" s="240"/>
    </row>
    <row r="38" spans="2:9" ht="15.75" x14ac:dyDescent="0.3">
      <c r="B38" s="301">
        <v>5</v>
      </c>
      <c r="C38" s="302"/>
      <c r="D38" s="303" t="s">
        <v>108</v>
      </c>
      <c r="E38" s="303"/>
      <c r="F38" s="303"/>
      <c r="G38" s="299"/>
      <c r="H38" s="303"/>
      <c r="I38" s="222">
        <f>I45</f>
        <v>2528.6070692250005</v>
      </c>
    </row>
    <row r="39" spans="2:9" s="154" customFormat="1" ht="13.5" hidden="1" x14ac:dyDescent="0.25">
      <c r="B39" s="224" t="s">
        <v>69</v>
      </c>
      <c r="C39" s="224" t="s">
        <v>87</v>
      </c>
      <c r="D39" s="284" t="s">
        <v>109</v>
      </c>
      <c r="E39" s="224" t="s">
        <v>0</v>
      </c>
      <c r="F39" s="266">
        <v>2</v>
      </c>
      <c r="G39" s="288">
        <f>Composições!G49</f>
        <v>60.357299999999995</v>
      </c>
      <c r="H39" s="267">
        <f t="shared" ref="H39:H44" si="2">G39*1.2555</f>
        <v>75.778590149999999</v>
      </c>
      <c r="I39" s="268">
        <f t="shared" ref="I39:I44" si="3">H39*F39</f>
        <v>151.5571803</v>
      </c>
    </row>
    <row r="40" spans="2:9" s="154" customFormat="1" ht="13.5" hidden="1" x14ac:dyDescent="0.25">
      <c r="B40" s="224" t="s">
        <v>70</v>
      </c>
      <c r="C40" s="224" t="s">
        <v>88</v>
      </c>
      <c r="D40" s="284" t="s">
        <v>110</v>
      </c>
      <c r="E40" s="224" t="s">
        <v>0</v>
      </c>
      <c r="F40" s="266">
        <v>0.02</v>
      </c>
      <c r="G40" s="288">
        <f>Composições!G54</f>
        <v>30.355</v>
      </c>
      <c r="H40" s="267">
        <f t="shared" si="2"/>
        <v>38.110702500000002</v>
      </c>
      <c r="I40" s="268">
        <f t="shared" si="3"/>
        <v>0.76221405000000009</v>
      </c>
    </row>
    <row r="41" spans="2:9" s="154" customFormat="1" ht="13.5" hidden="1" x14ac:dyDescent="0.25">
      <c r="B41" s="224" t="s">
        <v>152</v>
      </c>
      <c r="C41" s="224" t="s">
        <v>103</v>
      </c>
      <c r="D41" s="284" t="s">
        <v>115</v>
      </c>
      <c r="E41" s="224" t="s">
        <v>0</v>
      </c>
      <c r="F41" s="266">
        <v>0.5</v>
      </c>
      <c r="G41" s="288">
        <f>Composições!G59</f>
        <v>33.268500000000003</v>
      </c>
      <c r="H41" s="267">
        <f t="shared" si="2"/>
        <v>41.768601750000009</v>
      </c>
      <c r="I41" s="268">
        <f t="shared" si="3"/>
        <v>20.884300875000005</v>
      </c>
    </row>
    <row r="42" spans="2:9" s="154" customFormat="1" ht="27" hidden="1" x14ac:dyDescent="0.25">
      <c r="B42" s="224" t="s">
        <v>157</v>
      </c>
      <c r="C42" s="224">
        <v>97631</v>
      </c>
      <c r="D42" s="284" t="s">
        <v>159</v>
      </c>
      <c r="E42" s="224" t="s">
        <v>0</v>
      </c>
      <c r="F42" s="266">
        <v>61.56</v>
      </c>
      <c r="G42" s="288">
        <v>2.38</v>
      </c>
      <c r="H42" s="267">
        <f t="shared" si="2"/>
        <v>2.9880900000000001</v>
      </c>
      <c r="I42" s="268">
        <f t="shared" si="3"/>
        <v>183.94682040000001</v>
      </c>
    </row>
    <row r="43" spans="2:9" s="154" customFormat="1" ht="67.5" hidden="1" x14ac:dyDescent="0.25">
      <c r="B43" s="224" t="s">
        <v>161</v>
      </c>
      <c r="C43" s="224">
        <v>98173</v>
      </c>
      <c r="D43" s="284" t="s">
        <v>160</v>
      </c>
      <c r="E43" s="224" t="s">
        <v>0</v>
      </c>
      <c r="F43" s="266">
        <v>61.56</v>
      </c>
      <c r="G43" s="288">
        <v>27.92</v>
      </c>
      <c r="H43" s="267">
        <f t="shared" si="2"/>
        <v>35.053560000000004</v>
      </c>
      <c r="I43" s="268">
        <f t="shared" si="3"/>
        <v>2157.8971536000004</v>
      </c>
    </row>
    <row r="44" spans="2:9" s="154" customFormat="1" ht="27" hidden="1" x14ac:dyDescent="0.25">
      <c r="B44" s="224" t="s">
        <v>163</v>
      </c>
      <c r="C44" s="224">
        <v>123</v>
      </c>
      <c r="D44" s="284" t="s">
        <v>162</v>
      </c>
      <c r="E44" s="224" t="s">
        <v>48</v>
      </c>
      <c r="F44" s="266">
        <v>2</v>
      </c>
      <c r="G44" s="288">
        <v>5.4</v>
      </c>
      <c r="H44" s="267">
        <f t="shared" si="2"/>
        <v>6.7797000000000009</v>
      </c>
      <c r="I44" s="268">
        <f t="shared" si="3"/>
        <v>13.559400000000002</v>
      </c>
    </row>
    <row r="45" spans="2:9" ht="15.75" hidden="1" x14ac:dyDescent="0.25">
      <c r="B45" s="304"/>
      <c r="C45" s="305"/>
      <c r="D45" s="306"/>
      <c r="E45" s="305"/>
      <c r="F45" s="236"/>
      <c r="G45" s="237" t="s">
        <v>1</v>
      </c>
      <c r="H45" s="307"/>
      <c r="I45" s="238">
        <f>SUM(I39:I44)</f>
        <v>2528.6070692250005</v>
      </c>
    </row>
    <row r="46" spans="2:9" ht="15.75" hidden="1" x14ac:dyDescent="0.25">
      <c r="B46" s="297"/>
      <c r="C46" s="298"/>
      <c r="D46" s="298"/>
      <c r="E46" s="298"/>
      <c r="F46" s="298"/>
      <c r="G46" s="299"/>
      <c r="H46" s="300"/>
      <c r="I46" s="240"/>
    </row>
    <row r="47" spans="2:9" ht="15.75" x14ac:dyDescent="0.3">
      <c r="B47" s="216">
        <v>6</v>
      </c>
      <c r="C47" s="308"/>
      <c r="D47" s="219" t="s">
        <v>122</v>
      </c>
      <c r="E47" s="219"/>
      <c r="F47" s="219"/>
      <c r="G47" s="219"/>
      <c r="H47" s="219"/>
      <c r="I47" s="222">
        <f>I57</f>
        <v>36766.280036407501</v>
      </c>
    </row>
    <row r="48" spans="2:9" s="154" customFormat="1" ht="13.5" hidden="1" x14ac:dyDescent="0.25">
      <c r="B48" s="309" t="s">
        <v>71</v>
      </c>
      <c r="C48" s="309" t="s">
        <v>106</v>
      </c>
      <c r="D48" s="310" t="s">
        <v>61</v>
      </c>
      <c r="E48" s="291" t="s">
        <v>0</v>
      </c>
      <c r="F48" s="311">
        <v>696.69</v>
      </c>
      <c r="G48" s="312">
        <f>Composições!G23</f>
        <v>4.9544999999999995</v>
      </c>
      <c r="H48" s="267">
        <f t="shared" ref="H48:H55" si="4">G48*1.2555</f>
        <v>6.2203747499999995</v>
      </c>
      <c r="I48" s="268">
        <f t="shared" ref="I48:I56" si="5">H48*F48</f>
        <v>4333.6728845774996</v>
      </c>
    </row>
    <row r="49" spans="2:9" s="154" customFormat="1" ht="27" hidden="1" x14ac:dyDescent="0.25">
      <c r="B49" s="309" t="s">
        <v>72</v>
      </c>
      <c r="C49" s="309">
        <v>88485</v>
      </c>
      <c r="D49" s="310" t="s">
        <v>21</v>
      </c>
      <c r="E49" s="291" t="s">
        <v>0</v>
      </c>
      <c r="F49" s="311">
        <v>696.69</v>
      </c>
      <c r="G49" s="312">
        <v>1.68</v>
      </c>
      <c r="H49" s="267">
        <f t="shared" si="4"/>
        <v>2.1092400000000002</v>
      </c>
      <c r="I49" s="268">
        <f t="shared" si="5"/>
        <v>1469.4864156000003</v>
      </c>
    </row>
    <row r="50" spans="2:9" s="154" customFormat="1" ht="27" hidden="1" x14ac:dyDescent="0.25">
      <c r="B50" s="309" t="s">
        <v>153</v>
      </c>
      <c r="C50" s="224">
        <v>88497</v>
      </c>
      <c r="D50" s="287" t="s">
        <v>22</v>
      </c>
      <c r="E50" s="291" t="s">
        <v>0</v>
      </c>
      <c r="F50" s="266">
        <v>455.33</v>
      </c>
      <c r="G50" s="288">
        <v>12.3</v>
      </c>
      <c r="H50" s="267">
        <f t="shared" si="4"/>
        <v>15.442650000000002</v>
      </c>
      <c r="I50" s="268">
        <f t="shared" si="5"/>
        <v>7031.501824500001</v>
      </c>
    </row>
    <row r="51" spans="2:9" s="154" customFormat="1" ht="27" hidden="1" x14ac:dyDescent="0.25">
      <c r="B51" s="309" t="s">
        <v>73</v>
      </c>
      <c r="C51" s="224">
        <v>95305</v>
      </c>
      <c r="D51" s="284" t="s">
        <v>23</v>
      </c>
      <c r="E51" s="224" t="s">
        <v>0</v>
      </c>
      <c r="F51" s="266">
        <v>241.36</v>
      </c>
      <c r="G51" s="257">
        <v>13.79</v>
      </c>
      <c r="H51" s="267">
        <f t="shared" si="4"/>
        <v>17.313344999999998</v>
      </c>
      <c r="I51" s="268">
        <f t="shared" si="5"/>
        <v>4178.7489491999995</v>
      </c>
    </row>
    <row r="52" spans="2:9" s="154" customFormat="1" ht="27" hidden="1" x14ac:dyDescent="0.25">
      <c r="B52" s="309" t="s">
        <v>74</v>
      </c>
      <c r="C52" s="224">
        <v>88496</v>
      </c>
      <c r="D52" s="284" t="s">
        <v>191</v>
      </c>
      <c r="E52" s="224" t="s">
        <v>0</v>
      </c>
      <c r="F52" s="266">
        <v>223.89</v>
      </c>
      <c r="G52" s="257">
        <v>21.89</v>
      </c>
      <c r="H52" s="267">
        <f t="shared" si="4"/>
        <v>27.482895000000003</v>
      </c>
      <c r="I52" s="268">
        <f t="shared" si="5"/>
        <v>6153.1453615500004</v>
      </c>
    </row>
    <row r="53" spans="2:9" s="154" customFormat="1" ht="27" hidden="1" x14ac:dyDescent="0.25">
      <c r="B53" s="309" t="s">
        <v>75</v>
      </c>
      <c r="C53" s="224">
        <v>88488</v>
      </c>
      <c r="D53" s="284" t="s">
        <v>192</v>
      </c>
      <c r="E53" s="224" t="s">
        <v>0</v>
      </c>
      <c r="F53" s="266">
        <v>223.89</v>
      </c>
      <c r="G53" s="257">
        <v>14.73</v>
      </c>
      <c r="H53" s="267">
        <f t="shared" si="4"/>
        <v>18.493515000000002</v>
      </c>
      <c r="I53" s="268">
        <f t="shared" si="5"/>
        <v>4140.51307335</v>
      </c>
    </row>
    <row r="54" spans="2:9" s="154" customFormat="1" ht="27" hidden="1" x14ac:dyDescent="0.25">
      <c r="B54" s="309" t="s">
        <v>154</v>
      </c>
      <c r="C54" s="224" t="s">
        <v>45</v>
      </c>
      <c r="D54" s="284" t="s">
        <v>17</v>
      </c>
      <c r="E54" s="224" t="s">
        <v>0</v>
      </c>
      <c r="F54" s="266">
        <v>455.33</v>
      </c>
      <c r="G54" s="288">
        <f>Composições!G15</f>
        <v>11.25</v>
      </c>
      <c r="H54" s="267">
        <f t="shared" si="4"/>
        <v>14.124375000000001</v>
      </c>
      <c r="I54" s="268">
        <f t="shared" si="5"/>
        <v>6431.2516687500001</v>
      </c>
    </row>
    <row r="55" spans="2:9" s="154" customFormat="1" ht="27" hidden="1" x14ac:dyDescent="0.25">
      <c r="B55" s="309" t="s">
        <v>193</v>
      </c>
      <c r="C55" s="224" t="s">
        <v>128</v>
      </c>
      <c r="D55" s="313" t="s">
        <v>50</v>
      </c>
      <c r="E55" s="224" t="s">
        <v>0</v>
      </c>
      <c r="F55" s="266">
        <v>241.36</v>
      </c>
      <c r="G55" s="288">
        <f>Composições!G19</f>
        <v>7.6184999999999992</v>
      </c>
      <c r="H55" s="267">
        <f t="shared" si="4"/>
        <v>9.5650267499999995</v>
      </c>
      <c r="I55" s="268">
        <f t="shared" si="5"/>
        <v>2308.6148563800002</v>
      </c>
    </row>
    <row r="56" spans="2:9" s="154" customFormat="1" ht="13.5" hidden="1" x14ac:dyDescent="0.25">
      <c r="B56" s="309" t="s">
        <v>194</v>
      </c>
      <c r="C56" s="224" t="s">
        <v>104</v>
      </c>
      <c r="D56" s="313" t="s">
        <v>119</v>
      </c>
      <c r="E56" s="224" t="s">
        <v>6</v>
      </c>
      <c r="F56" s="266">
        <v>30</v>
      </c>
      <c r="G56" s="288">
        <f>Composições!G64</f>
        <v>19.098500000000001</v>
      </c>
      <c r="H56" s="267">
        <f>G56*1.2555</f>
        <v>23.978166750000003</v>
      </c>
      <c r="I56" s="268">
        <f t="shared" si="5"/>
        <v>719.34500250000008</v>
      </c>
    </row>
    <row r="57" spans="2:9" ht="15.75" hidden="1" x14ac:dyDescent="0.25">
      <c r="B57" s="294"/>
      <c r="C57" s="295"/>
      <c r="D57" s="295"/>
      <c r="E57" s="295"/>
      <c r="F57" s="295"/>
      <c r="G57" s="314" t="s">
        <v>1</v>
      </c>
      <c r="H57" s="296"/>
      <c r="I57" s="238">
        <f>SUM(I48:I56)</f>
        <v>36766.280036407501</v>
      </c>
    </row>
    <row r="58" spans="2:9" s="1" customFormat="1" ht="15.75" hidden="1" x14ac:dyDescent="0.25">
      <c r="B58" s="297"/>
      <c r="C58" s="298"/>
      <c r="D58" s="298"/>
      <c r="E58" s="298"/>
      <c r="F58" s="298"/>
      <c r="G58" s="298"/>
      <c r="H58" s="300"/>
      <c r="I58" s="238"/>
    </row>
    <row r="59" spans="2:9" ht="15.75" x14ac:dyDescent="0.3">
      <c r="B59" s="301">
        <v>7</v>
      </c>
      <c r="C59" s="302"/>
      <c r="D59" s="303" t="s">
        <v>136</v>
      </c>
      <c r="E59" s="303"/>
      <c r="F59" s="303"/>
      <c r="G59" s="299"/>
      <c r="H59" s="303"/>
      <c r="I59" s="222">
        <f>I63</f>
        <v>3248.9173628999997</v>
      </c>
    </row>
    <row r="60" spans="2:9" s="154" customFormat="1" ht="13.5" hidden="1" x14ac:dyDescent="0.25">
      <c r="B60" s="163" t="s">
        <v>155</v>
      </c>
      <c r="C60" s="163" t="s">
        <v>135</v>
      </c>
      <c r="D60" s="166" t="s">
        <v>130</v>
      </c>
      <c r="E60" s="163" t="s">
        <v>0</v>
      </c>
      <c r="F60" s="170">
        <v>223.89</v>
      </c>
      <c r="G60" s="193">
        <f>Composições!G69</f>
        <v>4.2699999999999996</v>
      </c>
      <c r="H60" s="171">
        <f>G60*1.2555</f>
        <v>5.3609849999999994</v>
      </c>
      <c r="I60" s="172">
        <f>H60*F60</f>
        <v>1200.2709316499997</v>
      </c>
    </row>
    <row r="61" spans="2:9" s="154" customFormat="1" ht="40.5" hidden="1" x14ac:dyDescent="0.25">
      <c r="B61" s="163" t="s">
        <v>156</v>
      </c>
      <c r="C61" s="163">
        <v>98546</v>
      </c>
      <c r="D61" s="166" t="s">
        <v>164</v>
      </c>
      <c r="E61" s="163" t="s">
        <v>0</v>
      </c>
      <c r="F61" s="170">
        <v>8</v>
      </c>
      <c r="G61" s="193">
        <v>95.12</v>
      </c>
      <c r="H61" s="171">
        <f>G61*1.2555</f>
        <v>119.42316000000001</v>
      </c>
      <c r="I61" s="172">
        <f>H61*F61</f>
        <v>955.38528000000008</v>
      </c>
    </row>
    <row r="62" spans="2:9" s="154" customFormat="1" ht="13.5" hidden="1" x14ac:dyDescent="0.25">
      <c r="B62" s="163" t="s">
        <v>165</v>
      </c>
      <c r="C62" s="163" t="s">
        <v>129</v>
      </c>
      <c r="D62" s="166" t="s">
        <v>137</v>
      </c>
      <c r="E62" s="163" t="s">
        <v>0</v>
      </c>
      <c r="F62" s="170">
        <v>25</v>
      </c>
      <c r="G62" s="193">
        <f>Composições!G74</f>
        <v>65.269500000000008</v>
      </c>
      <c r="H62" s="171">
        <f>G62*1.2555</f>
        <v>81.945857250000017</v>
      </c>
      <c r="I62" s="172">
        <f>H62*F62</f>
        <v>2048.6464312500002</v>
      </c>
    </row>
    <row r="63" spans="2:9" ht="15.75" hidden="1" x14ac:dyDescent="0.25">
      <c r="B63" s="69"/>
      <c r="C63" s="70"/>
      <c r="D63" s="71"/>
      <c r="E63" s="70"/>
      <c r="F63" s="72"/>
      <c r="G63" s="25" t="s">
        <v>1</v>
      </c>
      <c r="H63" s="73"/>
      <c r="I63" s="19">
        <f>SUM(I62,I60)</f>
        <v>3248.9173628999997</v>
      </c>
    </row>
    <row r="64" spans="2:9" hidden="1" x14ac:dyDescent="0.25"/>
    <row r="65" spans="2:9" ht="30.6" customHeight="1" x14ac:dyDescent="0.25">
      <c r="B65" s="69"/>
      <c r="C65" s="70"/>
      <c r="D65" s="214" t="s">
        <v>204</v>
      </c>
      <c r="E65" s="70"/>
      <c r="F65" s="72"/>
      <c r="G65" s="25" t="s">
        <v>182</v>
      </c>
      <c r="H65" s="73"/>
      <c r="I65" s="215">
        <f>SUM(I63,I57,I45,I36,I22,I17,I11)</f>
        <v>123164.27198520249</v>
      </c>
    </row>
    <row r="68" spans="2:9" x14ac:dyDescent="0.25">
      <c r="I68" s="48"/>
    </row>
    <row r="70" spans="2:9" x14ac:dyDescent="0.25">
      <c r="F70" s="47"/>
    </row>
  </sheetData>
  <mergeCells count="4">
    <mergeCell ref="B2:G5"/>
    <mergeCell ref="I2:I3"/>
    <mergeCell ref="J2:J3"/>
    <mergeCell ref="I4:I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70"/>
  <sheetViews>
    <sheetView tabSelected="1" zoomScale="80" zoomScaleNormal="80" workbookViewId="0">
      <selection activeCell="I28" sqref="I28"/>
    </sheetView>
  </sheetViews>
  <sheetFormatPr defaultColWidth="9.140625" defaultRowHeight="15" x14ac:dyDescent="0.25"/>
  <cols>
    <col min="1" max="1" width="4.85546875" style="1" customWidth="1"/>
    <col min="2" max="2" width="7.140625" style="2" hidden="1" customWidth="1"/>
    <col min="3" max="3" width="17.42578125" style="2" hidden="1" customWidth="1"/>
    <col min="4" max="4" width="86.85546875" style="3" customWidth="1"/>
    <col min="5" max="5" width="5.7109375" style="2" customWidth="1"/>
    <col min="6" max="6" width="9.140625" style="2" customWidth="1"/>
    <col min="7" max="7" width="15.28515625" style="44" customWidth="1"/>
    <col min="8" max="8" width="20.85546875" style="4" hidden="1" customWidth="1"/>
    <col min="9" max="9" width="22.5703125" style="4" customWidth="1"/>
    <col min="10" max="10" width="1.140625" style="1" customWidth="1"/>
    <col min="11" max="11" width="21.85546875" style="2" customWidth="1"/>
    <col min="12" max="16384" width="9.140625" style="2"/>
  </cols>
  <sheetData>
    <row r="1" spans="1:34" ht="15.75" thickBot="1" x14ac:dyDescent="0.3"/>
    <row r="2" spans="1:34" ht="21" x14ac:dyDescent="0.25">
      <c r="B2" s="315" t="s">
        <v>107</v>
      </c>
      <c r="C2" s="316"/>
      <c r="D2" s="316"/>
      <c r="E2" s="316"/>
      <c r="F2" s="316"/>
      <c r="G2" s="316"/>
      <c r="H2" s="5"/>
      <c r="I2" s="321" t="s">
        <v>18</v>
      </c>
      <c r="J2" s="323"/>
    </row>
    <row r="3" spans="1:34" ht="23.25" customHeight="1" thickBot="1" x14ac:dyDescent="0.3">
      <c r="B3" s="317"/>
      <c r="C3" s="318"/>
      <c r="D3" s="318"/>
      <c r="E3" s="318"/>
      <c r="F3" s="318"/>
      <c r="G3" s="318"/>
      <c r="H3" s="6"/>
      <c r="I3" s="322"/>
      <c r="J3" s="323"/>
    </row>
    <row r="4" spans="1:34" ht="15" customHeight="1" x14ac:dyDescent="0.25">
      <c r="B4" s="317"/>
      <c r="C4" s="318"/>
      <c r="D4" s="318"/>
      <c r="E4" s="318"/>
      <c r="F4" s="318"/>
      <c r="G4" s="318"/>
      <c r="H4" s="6"/>
      <c r="I4" s="324" t="s">
        <v>202</v>
      </c>
      <c r="J4" s="7">
        <v>0.24510000000000001</v>
      </c>
    </row>
    <row r="5" spans="1:34" ht="33" customHeight="1" thickBot="1" x14ac:dyDescent="0.3">
      <c r="B5" s="319"/>
      <c r="C5" s="320"/>
      <c r="D5" s="320"/>
      <c r="E5" s="320"/>
      <c r="F5" s="320"/>
      <c r="G5" s="320"/>
      <c r="H5" s="8"/>
      <c r="I5" s="325"/>
      <c r="J5" s="9"/>
    </row>
    <row r="6" spans="1:34" ht="6" customHeight="1" thickBot="1" x14ac:dyDescent="0.3">
      <c r="B6" s="1"/>
      <c r="C6" s="1"/>
      <c r="D6" s="10"/>
      <c r="E6" s="11"/>
      <c r="F6" s="11"/>
      <c r="G6" s="24"/>
      <c r="H6" s="12"/>
      <c r="I6" s="12"/>
    </row>
    <row r="7" spans="1:34" ht="45.75" customHeight="1" thickBot="1" x14ac:dyDescent="0.3">
      <c r="B7" s="32" t="s">
        <v>2</v>
      </c>
      <c r="C7" s="32" t="s">
        <v>8</v>
      </c>
      <c r="D7" s="33" t="s">
        <v>3</v>
      </c>
      <c r="E7" s="34" t="s">
        <v>4</v>
      </c>
      <c r="F7" s="34" t="s">
        <v>57</v>
      </c>
      <c r="G7" s="35" t="s">
        <v>62</v>
      </c>
      <c r="H7" s="36" t="s">
        <v>25</v>
      </c>
      <c r="I7" s="37" t="s">
        <v>5</v>
      </c>
      <c r="J7" s="13"/>
    </row>
    <row r="8" spans="1:34" ht="15.75" x14ac:dyDescent="0.3">
      <c r="B8" s="16">
        <v>1</v>
      </c>
      <c r="C8" s="26"/>
      <c r="D8" s="40" t="s">
        <v>52</v>
      </c>
      <c r="E8" s="30"/>
      <c r="F8" s="30"/>
      <c r="G8" s="45"/>
      <c r="H8" s="41"/>
      <c r="I8" s="42"/>
    </row>
    <row r="9" spans="1:34" s="1" customFormat="1" x14ac:dyDescent="0.25">
      <c r="B9" s="101" t="s">
        <v>64</v>
      </c>
      <c r="C9" s="163">
        <v>2707</v>
      </c>
      <c r="D9" s="180" t="s">
        <v>53</v>
      </c>
      <c r="E9" s="167" t="s">
        <v>31</v>
      </c>
      <c r="F9" s="17">
        <v>24</v>
      </c>
      <c r="G9" s="168">
        <v>103.04</v>
      </c>
      <c r="H9" s="18">
        <f>G9*1.2555</f>
        <v>129.36672000000002</v>
      </c>
      <c r="I9" s="161">
        <f>H9*F9</f>
        <v>3104.8012800000006</v>
      </c>
    </row>
    <row r="10" spans="1:34" s="1" customFormat="1" x14ac:dyDescent="0.25">
      <c r="B10" s="101" t="s">
        <v>65</v>
      </c>
      <c r="C10" s="181" t="s">
        <v>59</v>
      </c>
      <c r="D10" s="182" t="s">
        <v>58</v>
      </c>
      <c r="E10" s="167" t="s">
        <v>31</v>
      </c>
      <c r="F10" s="17">
        <v>84</v>
      </c>
      <c r="G10" s="168">
        <v>23.11</v>
      </c>
      <c r="H10" s="18">
        <f>G10*1.2555</f>
        <v>29.014605</v>
      </c>
      <c r="I10" s="161">
        <f>H10*F10</f>
        <v>2437.2268199999999</v>
      </c>
    </row>
    <row r="11" spans="1:34" s="80" customFormat="1" ht="15.75" x14ac:dyDescent="0.25">
      <c r="A11" s="1"/>
      <c r="B11" s="81"/>
      <c r="C11" s="82"/>
      <c r="D11" s="83"/>
      <c r="E11" s="84"/>
      <c r="F11" s="72"/>
      <c r="G11" s="25" t="s">
        <v>1</v>
      </c>
      <c r="H11" s="19"/>
      <c r="I11" s="19">
        <f>SUM(I9:I10)</f>
        <v>5542.0281000000004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1" customFormat="1" ht="15.75" x14ac:dyDescent="0.25">
      <c r="B12" s="101"/>
      <c r="C12" s="91"/>
      <c r="D12" s="92"/>
      <c r="E12" s="93"/>
      <c r="F12" s="50"/>
      <c r="G12" s="138"/>
      <c r="H12" s="94"/>
      <c r="I12" s="94"/>
    </row>
    <row r="13" spans="1:34" ht="15.75" x14ac:dyDescent="0.3">
      <c r="A13" s="2"/>
      <c r="B13" s="186">
        <v>2</v>
      </c>
      <c r="C13" s="187"/>
      <c r="D13" s="185" t="s">
        <v>105</v>
      </c>
      <c r="E13" s="188"/>
      <c r="F13" s="187"/>
      <c r="G13" s="189"/>
      <c r="H13" s="189"/>
      <c r="I13" s="190"/>
      <c r="J13" s="2"/>
    </row>
    <row r="14" spans="1:34" s="154" customFormat="1" ht="17.25" customHeight="1" x14ac:dyDescent="0.25">
      <c r="B14" s="167" t="s">
        <v>66</v>
      </c>
      <c r="C14" s="174" t="s">
        <v>79</v>
      </c>
      <c r="D14" s="175" t="s">
        <v>92</v>
      </c>
      <c r="E14" s="176" t="s">
        <v>32</v>
      </c>
      <c r="F14" s="177">
        <v>1</v>
      </c>
      <c r="G14" s="178">
        <f>Composições!G37</f>
        <v>457.40999999999997</v>
      </c>
      <c r="H14" s="178">
        <f>G14*1.255</f>
        <v>574.04954999999995</v>
      </c>
      <c r="I14" s="164">
        <f>TRUNC(H14*F14,2)</f>
        <v>574.04</v>
      </c>
    </row>
    <row r="15" spans="1:34" s="154" customFormat="1" ht="27" x14ac:dyDescent="0.25">
      <c r="B15" s="167" t="s">
        <v>89</v>
      </c>
      <c r="C15" s="163" t="s">
        <v>127</v>
      </c>
      <c r="D15" s="175" t="s">
        <v>93</v>
      </c>
      <c r="E15" s="163" t="s">
        <v>0</v>
      </c>
      <c r="F15" s="179">
        <v>1</v>
      </c>
      <c r="G15" s="164">
        <f>Composições!G42</f>
        <v>299.19400000000002</v>
      </c>
      <c r="H15" s="178">
        <f>G15*1.255</f>
        <v>375.48847000000001</v>
      </c>
      <c r="I15" s="164">
        <f>TRUNC(H15*F15,2)</f>
        <v>375.48</v>
      </c>
    </row>
    <row r="16" spans="1:34" s="154" customFormat="1" ht="15" customHeight="1" x14ac:dyDescent="0.25">
      <c r="B16" s="167" t="s">
        <v>145</v>
      </c>
      <c r="C16" s="163" t="s">
        <v>90</v>
      </c>
      <c r="D16" s="175" t="s">
        <v>91</v>
      </c>
      <c r="E16" s="163" t="s">
        <v>32</v>
      </c>
      <c r="F16" s="179">
        <v>2</v>
      </c>
      <c r="G16" s="164">
        <v>250</v>
      </c>
      <c r="H16" s="178">
        <f>G16*1.255</f>
        <v>313.75</v>
      </c>
      <c r="I16" s="164">
        <f>TRUNC(H16*F16,2)</f>
        <v>627.5</v>
      </c>
    </row>
    <row r="17" spans="1:34" s="151" customFormat="1" ht="15" customHeight="1" x14ac:dyDescent="0.25">
      <c r="B17" s="153"/>
      <c r="C17" s="139"/>
      <c r="D17" s="140"/>
      <c r="E17" s="141"/>
      <c r="F17" s="142"/>
      <c r="G17" s="25" t="s">
        <v>1</v>
      </c>
      <c r="H17" s="143"/>
      <c r="I17" s="19">
        <f>SUM(I14:I16)</f>
        <v>1577.02</v>
      </c>
    </row>
    <row r="18" spans="1:34" s="151" customFormat="1" ht="15" customHeight="1" x14ac:dyDescent="0.25">
      <c r="B18" s="152"/>
      <c r="C18" s="144"/>
      <c r="D18" s="145"/>
      <c r="E18" s="146"/>
      <c r="F18" s="147"/>
      <c r="G18" s="148"/>
      <c r="H18" s="149"/>
      <c r="I18" s="150"/>
    </row>
    <row r="19" spans="1:34" ht="15.75" x14ac:dyDescent="0.3">
      <c r="B19" s="16">
        <v>3</v>
      </c>
      <c r="C19" s="26"/>
      <c r="D19" s="40" t="s">
        <v>81</v>
      </c>
      <c r="E19" s="30"/>
      <c r="F19" s="30"/>
      <c r="G19" s="45"/>
      <c r="H19" s="41"/>
      <c r="I19" s="4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154" customFormat="1" ht="13.5" x14ac:dyDescent="0.25">
      <c r="B20" s="163" t="s">
        <v>67</v>
      </c>
      <c r="C20" s="167" t="s">
        <v>126</v>
      </c>
      <c r="D20" s="162" t="s">
        <v>82</v>
      </c>
      <c r="E20" s="167" t="s">
        <v>32</v>
      </c>
      <c r="F20" s="170">
        <v>1</v>
      </c>
      <c r="G20" s="168">
        <f>Composições!G29</f>
        <v>756.52</v>
      </c>
      <c r="H20" s="171">
        <f>G20*1.2555</f>
        <v>949.81086000000005</v>
      </c>
      <c r="I20" s="172">
        <f>H20*F20</f>
        <v>949.81086000000005</v>
      </c>
    </row>
    <row r="21" spans="1:34" s="154" customFormat="1" ht="13.5" x14ac:dyDescent="0.25">
      <c r="B21" s="163" t="s">
        <v>63</v>
      </c>
      <c r="C21" s="173" t="s">
        <v>60</v>
      </c>
      <c r="D21" s="162" t="s">
        <v>85</v>
      </c>
      <c r="E21" s="167" t="s">
        <v>32</v>
      </c>
      <c r="F21" s="170">
        <v>1</v>
      </c>
      <c r="G21" s="168">
        <f>Composições!G33</f>
        <v>756.52</v>
      </c>
      <c r="H21" s="171">
        <f>G21*1.2555</f>
        <v>949.81086000000005</v>
      </c>
      <c r="I21" s="172">
        <f>H21*F21</f>
        <v>949.81086000000005</v>
      </c>
    </row>
    <row r="22" spans="1:34" s="158" customFormat="1" ht="15.75" x14ac:dyDescent="0.25">
      <c r="A22" s="154"/>
      <c r="B22" s="155"/>
      <c r="C22" s="82"/>
      <c r="D22" s="89"/>
      <c r="E22" s="90"/>
      <c r="F22" s="156"/>
      <c r="G22" s="184" t="s">
        <v>1</v>
      </c>
      <c r="H22" s="157"/>
      <c r="I22" s="19">
        <f>SUM(I20:I21)</f>
        <v>1899.6217200000001</v>
      </c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4" s="1" customFormat="1" ht="15.75" x14ac:dyDescent="0.25">
      <c r="B23" s="101"/>
      <c r="C23" s="91"/>
      <c r="D23" s="95"/>
      <c r="E23" s="96"/>
      <c r="F23" s="97"/>
      <c r="G23" s="98"/>
      <c r="H23" s="99"/>
      <c r="I23" s="100"/>
    </row>
    <row r="24" spans="1:34" ht="15.75" x14ac:dyDescent="0.3">
      <c r="B24" s="16">
        <v>4</v>
      </c>
      <c r="C24" s="26"/>
      <c r="D24" s="86" t="s">
        <v>9</v>
      </c>
      <c r="E24" s="85"/>
      <c r="F24" s="85"/>
      <c r="G24" s="87"/>
      <c r="H24" s="88"/>
      <c r="I24" s="79"/>
    </row>
    <row r="25" spans="1:34" s="154" customFormat="1" ht="13.5" x14ac:dyDescent="0.25">
      <c r="B25" s="163" t="s">
        <v>68</v>
      </c>
      <c r="C25" s="165" t="s">
        <v>125</v>
      </c>
      <c r="D25" s="166" t="s">
        <v>77</v>
      </c>
      <c r="E25" s="167" t="s">
        <v>6</v>
      </c>
      <c r="F25" s="170">
        <v>22.4</v>
      </c>
      <c r="G25" s="168">
        <f>Composições!G26</f>
        <v>2.9811000000000001</v>
      </c>
      <c r="H25" s="171">
        <f t="shared" ref="H25:H35" si="0">G25*1.2555</f>
        <v>3.7427710500000004</v>
      </c>
      <c r="I25" s="172">
        <f t="shared" ref="I25:I35" si="1">H25*F25</f>
        <v>83.83807152</v>
      </c>
    </row>
    <row r="26" spans="1:34" s="154" customFormat="1" ht="27" x14ac:dyDescent="0.25">
      <c r="B26" s="163" t="s">
        <v>117</v>
      </c>
      <c r="C26" s="165">
        <v>97647</v>
      </c>
      <c r="D26" s="162" t="s">
        <v>55</v>
      </c>
      <c r="E26" s="167" t="s">
        <v>0</v>
      </c>
      <c r="F26" s="170">
        <v>280.83999999999997</v>
      </c>
      <c r="G26" s="168">
        <v>2.5499999999999998</v>
      </c>
      <c r="H26" s="171">
        <f t="shared" si="0"/>
        <v>3.2015249999999997</v>
      </c>
      <c r="I26" s="172">
        <f t="shared" si="1"/>
        <v>899.11628099999984</v>
      </c>
    </row>
    <row r="27" spans="1:34" s="154" customFormat="1" ht="27" x14ac:dyDescent="0.25">
      <c r="B27" s="163" t="s">
        <v>118</v>
      </c>
      <c r="C27" s="191">
        <v>97640</v>
      </c>
      <c r="D27" s="162" t="s">
        <v>54</v>
      </c>
      <c r="E27" s="167" t="s">
        <v>0</v>
      </c>
      <c r="F27" s="170">
        <v>223.89</v>
      </c>
      <c r="G27" s="168">
        <v>1.1499999999999999</v>
      </c>
      <c r="H27" s="171">
        <f t="shared" si="0"/>
        <v>1.4438249999999999</v>
      </c>
      <c r="I27" s="172">
        <f t="shared" si="1"/>
        <v>323.25797924999995</v>
      </c>
    </row>
    <row r="28" spans="1:34" s="154" customFormat="1" ht="27" x14ac:dyDescent="0.25">
      <c r="B28" s="163"/>
      <c r="C28" s="181">
        <v>97650</v>
      </c>
      <c r="D28" s="162" t="s">
        <v>167</v>
      </c>
      <c r="E28" s="167" t="s">
        <v>0</v>
      </c>
      <c r="F28" s="170">
        <v>280.83999999999997</v>
      </c>
      <c r="G28" s="168">
        <v>5.5</v>
      </c>
      <c r="H28" s="171">
        <f t="shared" si="0"/>
        <v>6.9052500000000006</v>
      </c>
      <c r="I28" s="172">
        <f t="shared" si="1"/>
        <v>1939.2704100000001</v>
      </c>
    </row>
    <row r="29" spans="1:34" s="154" customFormat="1" ht="27" x14ac:dyDescent="0.25">
      <c r="B29" s="163"/>
      <c r="C29" s="167">
        <v>97651</v>
      </c>
      <c r="D29" s="162" t="s">
        <v>168</v>
      </c>
      <c r="E29" s="167" t="s">
        <v>0</v>
      </c>
      <c r="F29" s="170">
        <v>6</v>
      </c>
      <c r="G29" s="168">
        <v>60.9</v>
      </c>
      <c r="H29" s="171">
        <f t="shared" si="0"/>
        <v>76.459950000000006</v>
      </c>
      <c r="I29" s="172">
        <f t="shared" si="1"/>
        <v>458.75970000000007</v>
      </c>
    </row>
    <row r="30" spans="1:34" s="154" customFormat="1" ht="27" x14ac:dyDescent="0.25">
      <c r="B30" s="163" t="s">
        <v>146</v>
      </c>
      <c r="C30" s="165">
        <v>94218</v>
      </c>
      <c r="D30" s="169" t="s">
        <v>166</v>
      </c>
      <c r="E30" s="167" t="s">
        <v>13</v>
      </c>
      <c r="F30" s="170">
        <v>280.83999999999997</v>
      </c>
      <c r="G30" s="168">
        <v>111.28</v>
      </c>
      <c r="H30" s="171">
        <f t="shared" si="0"/>
        <v>139.71204</v>
      </c>
      <c r="I30" s="172">
        <f t="shared" si="1"/>
        <v>39236.729313599993</v>
      </c>
    </row>
    <row r="31" spans="1:34" s="154" customFormat="1" ht="33" customHeight="1" x14ac:dyDescent="0.25">
      <c r="B31" s="163" t="s">
        <v>147</v>
      </c>
      <c r="C31" s="163">
        <v>94228</v>
      </c>
      <c r="D31" s="192" t="s">
        <v>19</v>
      </c>
      <c r="E31" s="163" t="s">
        <v>6</v>
      </c>
      <c r="F31" s="170">
        <v>22.4</v>
      </c>
      <c r="G31" s="193">
        <v>80.239999999999995</v>
      </c>
      <c r="H31" s="171">
        <f t="shared" si="0"/>
        <v>100.74132</v>
      </c>
      <c r="I31" s="172">
        <f t="shared" si="1"/>
        <v>2256.6055679999999</v>
      </c>
    </row>
    <row r="32" spans="1:34" s="154" customFormat="1" ht="27" x14ac:dyDescent="0.25">
      <c r="B32" s="163" t="s">
        <v>148</v>
      </c>
      <c r="C32" s="163">
        <v>94231</v>
      </c>
      <c r="D32" s="192" t="s">
        <v>20</v>
      </c>
      <c r="E32" s="163" t="s">
        <v>6</v>
      </c>
      <c r="F32" s="170">
        <v>22.4</v>
      </c>
      <c r="G32" s="193">
        <v>47.16</v>
      </c>
      <c r="H32" s="171">
        <f t="shared" si="0"/>
        <v>59.209379999999996</v>
      </c>
      <c r="I32" s="172">
        <f t="shared" si="1"/>
        <v>1326.2901119999999</v>
      </c>
    </row>
    <row r="33" spans="2:9" s="154" customFormat="1" ht="13.5" x14ac:dyDescent="0.25">
      <c r="B33" s="163" t="s">
        <v>149</v>
      </c>
      <c r="C33" s="163" t="s">
        <v>44</v>
      </c>
      <c r="D33" s="194" t="s">
        <v>24</v>
      </c>
      <c r="E33" s="163" t="s">
        <v>0</v>
      </c>
      <c r="F33" s="170">
        <v>20.100000000000001</v>
      </c>
      <c r="G33" s="193">
        <f>Composições!G5</f>
        <v>47.160000000000004</v>
      </c>
      <c r="H33" s="171">
        <f t="shared" si="0"/>
        <v>59.20938000000001</v>
      </c>
      <c r="I33" s="172">
        <f t="shared" si="1"/>
        <v>1190.1085380000002</v>
      </c>
    </row>
    <row r="34" spans="2:9" s="154" customFormat="1" ht="40.5" x14ac:dyDescent="0.25">
      <c r="B34" s="163" t="s">
        <v>150</v>
      </c>
      <c r="C34" s="173">
        <v>92602</v>
      </c>
      <c r="D34" s="195" t="s">
        <v>123</v>
      </c>
      <c r="E34" s="196" t="s">
        <v>13</v>
      </c>
      <c r="F34" s="197">
        <v>6</v>
      </c>
      <c r="G34" s="198">
        <v>762.78</v>
      </c>
      <c r="H34" s="171">
        <f t="shared" si="0"/>
        <v>957.67029000000002</v>
      </c>
      <c r="I34" s="172">
        <f t="shared" si="1"/>
        <v>5746.0217400000001</v>
      </c>
    </row>
    <row r="35" spans="2:9" s="154" customFormat="1" ht="27" x14ac:dyDescent="0.25">
      <c r="B35" s="163" t="s">
        <v>151</v>
      </c>
      <c r="C35" s="167">
        <v>96114</v>
      </c>
      <c r="D35" s="195" t="s">
        <v>124</v>
      </c>
      <c r="E35" s="196" t="s">
        <v>0</v>
      </c>
      <c r="F35" s="197">
        <v>223.89</v>
      </c>
      <c r="G35" s="198">
        <v>64.540000000000006</v>
      </c>
      <c r="H35" s="171">
        <f t="shared" si="0"/>
        <v>81.029970000000006</v>
      </c>
      <c r="I35" s="172">
        <f t="shared" si="1"/>
        <v>18141.799983299999</v>
      </c>
    </row>
    <row r="36" spans="2:9" ht="15.75" x14ac:dyDescent="0.25">
      <c r="B36" s="23"/>
      <c r="C36" s="20"/>
      <c r="D36" s="20"/>
      <c r="E36" s="20"/>
      <c r="F36" s="20"/>
      <c r="G36" s="25" t="s">
        <v>1</v>
      </c>
      <c r="H36" s="22"/>
      <c r="I36" s="19">
        <f>SUM(I25:I35)</f>
        <v>71601.797696669993</v>
      </c>
    </row>
    <row r="37" spans="2:9" ht="15.75" x14ac:dyDescent="0.25">
      <c r="B37" s="68"/>
      <c r="C37" s="28"/>
      <c r="D37" s="28"/>
      <c r="E37" s="28"/>
      <c r="F37" s="28"/>
      <c r="G37" s="27"/>
      <c r="H37" s="29"/>
      <c r="I37" s="49"/>
    </row>
    <row r="38" spans="2:9" ht="15.75" x14ac:dyDescent="0.3">
      <c r="B38" s="38">
        <v>5</v>
      </c>
      <c r="C38" s="39"/>
      <c r="D38" s="43" t="s">
        <v>108</v>
      </c>
      <c r="E38" s="43"/>
      <c r="F38" s="43"/>
      <c r="G38" s="15"/>
      <c r="H38" s="43"/>
      <c r="I38" s="31"/>
    </row>
    <row r="39" spans="2:9" s="154" customFormat="1" ht="13.5" x14ac:dyDescent="0.25">
      <c r="B39" s="163" t="s">
        <v>69</v>
      </c>
      <c r="C39" s="163" t="s">
        <v>87</v>
      </c>
      <c r="D39" s="166" t="s">
        <v>109</v>
      </c>
      <c r="E39" s="163" t="s">
        <v>0</v>
      </c>
      <c r="F39" s="170">
        <v>2</v>
      </c>
      <c r="G39" s="193">
        <f>Composições!G49</f>
        <v>60.357299999999995</v>
      </c>
      <c r="H39" s="171">
        <f t="shared" ref="H39:H44" si="2">G39*1.2555</f>
        <v>75.778590149999999</v>
      </c>
      <c r="I39" s="172">
        <f t="shared" ref="I39:I44" si="3">H39*F39</f>
        <v>151.5571803</v>
      </c>
    </row>
    <row r="40" spans="2:9" s="154" customFormat="1" ht="13.5" x14ac:dyDescent="0.25">
      <c r="B40" s="163" t="s">
        <v>70</v>
      </c>
      <c r="C40" s="163" t="s">
        <v>88</v>
      </c>
      <c r="D40" s="166" t="s">
        <v>110</v>
      </c>
      <c r="E40" s="163" t="s">
        <v>0</v>
      </c>
      <c r="F40" s="170">
        <v>0.02</v>
      </c>
      <c r="G40" s="193">
        <f>Composições!G54</f>
        <v>30.355</v>
      </c>
      <c r="H40" s="171">
        <f t="shared" si="2"/>
        <v>38.110702500000002</v>
      </c>
      <c r="I40" s="172">
        <f t="shared" si="3"/>
        <v>0.76221405000000009</v>
      </c>
    </row>
    <row r="41" spans="2:9" s="154" customFormat="1" ht="13.5" x14ac:dyDescent="0.25">
      <c r="B41" s="163" t="s">
        <v>152</v>
      </c>
      <c r="C41" s="163" t="s">
        <v>103</v>
      </c>
      <c r="D41" s="166" t="s">
        <v>115</v>
      </c>
      <c r="E41" s="163" t="s">
        <v>0</v>
      </c>
      <c r="F41" s="170">
        <v>0.5</v>
      </c>
      <c r="G41" s="193">
        <f>Composições!G59</f>
        <v>33.268500000000003</v>
      </c>
      <c r="H41" s="171">
        <f t="shared" si="2"/>
        <v>41.768601750000009</v>
      </c>
      <c r="I41" s="172">
        <f t="shared" si="3"/>
        <v>20.884300875000005</v>
      </c>
    </row>
    <row r="42" spans="2:9" s="154" customFormat="1" ht="27" x14ac:dyDescent="0.25">
      <c r="B42" s="163" t="s">
        <v>157</v>
      </c>
      <c r="C42" s="163">
        <v>97631</v>
      </c>
      <c r="D42" s="166" t="s">
        <v>159</v>
      </c>
      <c r="E42" s="163" t="s">
        <v>0</v>
      </c>
      <c r="F42" s="170">
        <v>61.56</v>
      </c>
      <c r="G42" s="193">
        <v>2.38</v>
      </c>
      <c r="H42" s="171">
        <f t="shared" si="2"/>
        <v>2.9880900000000001</v>
      </c>
      <c r="I42" s="172">
        <f t="shared" si="3"/>
        <v>183.94682040000001</v>
      </c>
    </row>
    <row r="43" spans="2:9" s="154" customFormat="1" ht="54" x14ac:dyDescent="0.25">
      <c r="B43" s="163" t="s">
        <v>161</v>
      </c>
      <c r="C43" s="163">
        <v>98173</v>
      </c>
      <c r="D43" s="166" t="s">
        <v>160</v>
      </c>
      <c r="E43" s="163" t="s">
        <v>0</v>
      </c>
      <c r="F43" s="170">
        <v>61.56</v>
      </c>
      <c r="G43" s="193">
        <v>27.92</v>
      </c>
      <c r="H43" s="171">
        <f t="shared" si="2"/>
        <v>35.053560000000004</v>
      </c>
      <c r="I43" s="172">
        <f t="shared" si="3"/>
        <v>2157.8971536000004</v>
      </c>
    </row>
    <row r="44" spans="2:9" s="154" customFormat="1" ht="27" x14ac:dyDescent="0.25">
      <c r="B44" s="163" t="s">
        <v>163</v>
      </c>
      <c r="C44" s="163">
        <v>123</v>
      </c>
      <c r="D44" s="166" t="s">
        <v>162</v>
      </c>
      <c r="E44" s="163" t="s">
        <v>48</v>
      </c>
      <c r="F44" s="170">
        <v>2</v>
      </c>
      <c r="G44" s="193">
        <v>5.4</v>
      </c>
      <c r="H44" s="171">
        <f t="shared" si="2"/>
        <v>6.7797000000000009</v>
      </c>
      <c r="I44" s="172">
        <f t="shared" si="3"/>
        <v>13.559400000000002</v>
      </c>
    </row>
    <row r="45" spans="2:9" ht="15.75" x14ac:dyDescent="0.25">
      <c r="B45" s="69"/>
      <c r="C45" s="70"/>
      <c r="D45" s="71"/>
      <c r="E45" s="70"/>
      <c r="F45" s="72"/>
      <c r="G45" s="25" t="s">
        <v>1</v>
      </c>
      <c r="H45" s="73"/>
      <c r="I45" s="19">
        <f>SUM(I39:I44)</f>
        <v>2528.6070692250005</v>
      </c>
    </row>
    <row r="46" spans="2:9" ht="15.75" x14ac:dyDescent="0.25">
      <c r="B46" s="68"/>
      <c r="C46" s="28"/>
      <c r="D46" s="28"/>
      <c r="E46" s="28"/>
      <c r="F46" s="28"/>
      <c r="G46" s="27"/>
      <c r="H46" s="29"/>
      <c r="I46" s="49"/>
    </row>
    <row r="47" spans="2:9" ht="15.75" x14ac:dyDescent="0.3">
      <c r="B47" s="26">
        <v>6</v>
      </c>
      <c r="C47" s="46"/>
      <c r="D47" s="30" t="s">
        <v>122</v>
      </c>
      <c r="E47" s="30"/>
      <c r="F47" s="30"/>
      <c r="G47" s="30"/>
      <c r="H47" s="30"/>
      <c r="I47" s="31"/>
    </row>
    <row r="48" spans="2:9" s="154" customFormat="1" ht="13.5" x14ac:dyDescent="0.25">
      <c r="B48" s="199" t="s">
        <v>71</v>
      </c>
      <c r="C48" s="199" t="s">
        <v>106</v>
      </c>
      <c r="D48" s="200" t="s">
        <v>61</v>
      </c>
      <c r="E48" s="196" t="s">
        <v>0</v>
      </c>
      <c r="F48" s="201">
        <v>696.69</v>
      </c>
      <c r="G48" s="202">
        <f>Composições!G23</f>
        <v>4.9544999999999995</v>
      </c>
      <c r="H48" s="171">
        <f t="shared" ref="H48:H55" si="4">G48*1.2555</f>
        <v>6.2203747499999995</v>
      </c>
      <c r="I48" s="172">
        <f t="shared" ref="I48:I56" si="5">H48*F48</f>
        <v>4333.6728845774996</v>
      </c>
    </row>
    <row r="49" spans="2:9" s="154" customFormat="1" ht="13.5" x14ac:dyDescent="0.25">
      <c r="B49" s="199" t="s">
        <v>72</v>
      </c>
      <c r="C49" s="199">
        <v>88485</v>
      </c>
      <c r="D49" s="200" t="s">
        <v>21</v>
      </c>
      <c r="E49" s="196" t="s">
        <v>0</v>
      </c>
      <c r="F49" s="201">
        <v>696.69</v>
      </c>
      <c r="G49" s="202">
        <v>1.68</v>
      </c>
      <c r="H49" s="171">
        <f t="shared" si="4"/>
        <v>2.1092400000000002</v>
      </c>
      <c r="I49" s="172">
        <f t="shared" si="5"/>
        <v>1469.4864156000003</v>
      </c>
    </row>
    <row r="50" spans="2:9" s="154" customFormat="1" ht="27" x14ac:dyDescent="0.25">
      <c r="B50" s="199" t="s">
        <v>153</v>
      </c>
      <c r="C50" s="163">
        <v>88497</v>
      </c>
      <c r="D50" s="192" t="s">
        <v>22</v>
      </c>
      <c r="E50" s="196" t="s">
        <v>0</v>
      </c>
      <c r="F50" s="170">
        <v>455.33</v>
      </c>
      <c r="G50" s="193">
        <v>12.3</v>
      </c>
      <c r="H50" s="171">
        <f t="shared" si="4"/>
        <v>15.442650000000002</v>
      </c>
      <c r="I50" s="172">
        <f t="shared" si="5"/>
        <v>7031.501824500001</v>
      </c>
    </row>
    <row r="51" spans="2:9" s="154" customFormat="1" ht="13.5" x14ac:dyDescent="0.25">
      <c r="B51" s="199" t="s">
        <v>73</v>
      </c>
      <c r="C51" s="163">
        <v>95305</v>
      </c>
      <c r="D51" s="166" t="s">
        <v>23</v>
      </c>
      <c r="E51" s="163" t="s">
        <v>0</v>
      </c>
      <c r="F51" s="170">
        <v>241.36</v>
      </c>
      <c r="G51" s="164">
        <v>13.79</v>
      </c>
      <c r="H51" s="171">
        <f t="shared" si="4"/>
        <v>17.313344999999998</v>
      </c>
      <c r="I51" s="172">
        <f t="shared" si="5"/>
        <v>4178.7489491999995</v>
      </c>
    </row>
    <row r="52" spans="2:9" s="154" customFormat="1" ht="13.5" x14ac:dyDescent="0.25">
      <c r="B52" s="199" t="s">
        <v>74</v>
      </c>
      <c r="C52" s="163">
        <v>88496</v>
      </c>
      <c r="D52" s="166" t="s">
        <v>191</v>
      </c>
      <c r="E52" s="163" t="s">
        <v>0</v>
      </c>
      <c r="F52" s="170">
        <v>223.89</v>
      </c>
      <c r="G52" s="164">
        <v>21.89</v>
      </c>
      <c r="H52" s="171">
        <f t="shared" si="4"/>
        <v>27.482895000000003</v>
      </c>
      <c r="I52" s="172">
        <f t="shared" si="5"/>
        <v>6153.1453615500004</v>
      </c>
    </row>
    <row r="53" spans="2:9" s="154" customFormat="1" ht="27" x14ac:dyDescent="0.25">
      <c r="B53" s="199" t="s">
        <v>75</v>
      </c>
      <c r="C53" s="163">
        <v>88488</v>
      </c>
      <c r="D53" s="166" t="s">
        <v>192</v>
      </c>
      <c r="E53" s="163" t="s">
        <v>0</v>
      </c>
      <c r="F53" s="170">
        <v>223.89</v>
      </c>
      <c r="G53" s="164">
        <v>14.73</v>
      </c>
      <c r="H53" s="171">
        <f t="shared" si="4"/>
        <v>18.493515000000002</v>
      </c>
      <c r="I53" s="172">
        <f t="shared" si="5"/>
        <v>4140.51307335</v>
      </c>
    </row>
    <row r="54" spans="2:9" s="154" customFormat="1" ht="27" x14ac:dyDescent="0.25">
      <c r="B54" s="199" t="s">
        <v>154</v>
      </c>
      <c r="C54" s="163" t="s">
        <v>45</v>
      </c>
      <c r="D54" s="166" t="s">
        <v>17</v>
      </c>
      <c r="E54" s="163" t="s">
        <v>0</v>
      </c>
      <c r="F54" s="170">
        <v>455.33</v>
      </c>
      <c r="G54" s="193">
        <f>Composições!G15</f>
        <v>11.25</v>
      </c>
      <c r="H54" s="171">
        <f t="shared" si="4"/>
        <v>14.124375000000001</v>
      </c>
      <c r="I54" s="172">
        <f t="shared" si="5"/>
        <v>6431.2516687500001</v>
      </c>
    </row>
    <row r="55" spans="2:9" s="154" customFormat="1" ht="27" x14ac:dyDescent="0.25">
      <c r="B55" s="199" t="s">
        <v>193</v>
      </c>
      <c r="C55" s="163" t="s">
        <v>128</v>
      </c>
      <c r="D55" s="203" t="s">
        <v>50</v>
      </c>
      <c r="E55" s="163" t="s">
        <v>0</v>
      </c>
      <c r="F55" s="170">
        <v>241.36</v>
      </c>
      <c r="G55" s="193">
        <f>Composições!G19</f>
        <v>7.6184999999999992</v>
      </c>
      <c r="H55" s="171">
        <f t="shared" si="4"/>
        <v>9.5650267499999995</v>
      </c>
      <c r="I55" s="172">
        <f t="shared" si="5"/>
        <v>2308.6148563800002</v>
      </c>
    </row>
    <row r="56" spans="2:9" s="154" customFormat="1" ht="13.5" x14ac:dyDescent="0.25">
      <c r="B56" s="199" t="s">
        <v>194</v>
      </c>
      <c r="C56" s="163" t="s">
        <v>104</v>
      </c>
      <c r="D56" s="203" t="s">
        <v>119</v>
      </c>
      <c r="E56" s="163" t="s">
        <v>6</v>
      </c>
      <c r="F56" s="170">
        <v>30</v>
      </c>
      <c r="G56" s="193">
        <f>Composições!G64</f>
        <v>19.098500000000001</v>
      </c>
      <c r="H56" s="171">
        <f>G56*1.2555</f>
        <v>23.978166750000003</v>
      </c>
      <c r="I56" s="172">
        <f t="shared" si="5"/>
        <v>719.34500250000008</v>
      </c>
    </row>
    <row r="57" spans="2:9" ht="15.75" x14ac:dyDescent="0.25">
      <c r="B57" s="23"/>
      <c r="C57" s="20"/>
      <c r="D57" s="20"/>
      <c r="E57" s="20"/>
      <c r="F57" s="20"/>
      <c r="G57" s="21" t="s">
        <v>1</v>
      </c>
      <c r="H57" s="22"/>
      <c r="I57" s="19">
        <f>SUM(I48:I56)</f>
        <v>36766.280036407501</v>
      </c>
    </row>
    <row r="58" spans="2:9" s="1" customFormat="1" ht="15.75" x14ac:dyDescent="0.25">
      <c r="B58" s="68"/>
      <c r="C58" s="28"/>
      <c r="D58" s="28"/>
      <c r="E58" s="28"/>
      <c r="F58" s="28"/>
      <c r="G58" s="28"/>
      <c r="H58" s="29"/>
      <c r="I58" s="94"/>
    </row>
    <row r="59" spans="2:9" ht="15.75" x14ac:dyDescent="0.3">
      <c r="B59" s="38">
        <v>7</v>
      </c>
      <c r="C59" s="39"/>
      <c r="D59" s="43" t="s">
        <v>136</v>
      </c>
      <c r="E59" s="43"/>
      <c r="F59" s="43"/>
      <c r="G59" s="15"/>
      <c r="H59" s="43"/>
      <c r="I59" s="31"/>
    </row>
    <row r="60" spans="2:9" s="154" customFormat="1" ht="13.5" x14ac:dyDescent="0.25">
      <c r="B60" s="163" t="s">
        <v>155</v>
      </c>
      <c r="C60" s="163" t="s">
        <v>135</v>
      </c>
      <c r="D60" s="166" t="s">
        <v>130</v>
      </c>
      <c r="E60" s="163" t="s">
        <v>0</v>
      </c>
      <c r="F60" s="170">
        <v>223.89</v>
      </c>
      <c r="G60" s="193">
        <f>Composições!G69</f>
        <v>4.2699999999999996</v>
      </c>
      <c r="H60" s="171">
        <f>G60*1.2555</f>
        <v>5.3609849999999994</v>
      </c>
      <c r="I60" s="172">
        <f>H60*F60</f>
        <v>1200.2709316499997</v>
      </c>
    </row>
    <row r="61" spans="2:9" s="154" customFormat="1" ht="27" x14ac:dyDescent="0.25">
      <c r="B61" s="163" t="s">
        <v>156</v>
      </c>
      <c r="C61" s="163">
        <v>98546</v>
      </c>
      <c r="D61" s="166" t="s">
        <v>164</v>
      </c>
      <c r="E61" s="163" t="s">
        <v>0</v>
      </c>
      <c r="F61" s="170">
        <v>8</v>
      </c>
      <c r="G61" s="193">
        <v>95.12</v>
      </c>
      <c r="H61" s="171">
        <f>G61*1.2555</f>
        <v>119.42316000000001</v>
      </c>
      <c r="I61" s="172">
        <f>H61*F61</f>
        <v>955.38528000000008</v>
      </c>
    </row>
    <row r="62" spans="2:9" s="154" customFormat="1" ht="13.5" x14ac:dyDescent="0.25">
      <c r="B62" s="163" t="s">
        <v>165</v>
      </c>
      <c r="C62" s="163" t="s">
        <v>129</v>
      </c>
      <c r="D62" s="166" t="s">
        <v>137</v>
      </c>
      <c r="E62" s="163" t="s">
        <v>0</v>
      </c>
      <c r="F62" s="170">
        <v>25</v>
      </c>
      <c r="G62" s="193">
        <f>Composições!G74</f>
        <v>65.269500000000008</v>
      </c>
      <c r="H62" s="171">
        <f>G62*1.2555</f>
        <v>81.945857250000017</v>
      </c>
      <c r="I62" s="172">
        <f>H62*F62</f>
        <v>2048.6464312500002</v>
      </c>
    </row>
    <row r="63" spans="2:9" ht="15.75" x14ac:dyDescent="0.25">
      <c r="B63" s="69"/>
      <c r="C63" s="70"/>
      <c r="D63" s="71"/>
      <c r="E63" s="70"/>
      <c r="F63" s="72"/>
      <c r="G63" s="25" t="s">
        <v>1</v>
      </c>
      <c r="H63" s="73"/>
      <c r="I63" s="19">
        <f>SUM(I62,I60)</f>
        <v>3248.9173628999997</v>
      </c>
    </row>
    <row r="65" spans="2:9" ht="15.75" x14ac:dyDescent="0.25">
      <c r="B65" s="69"/>
      <c r="C65" s="70"/>
      <c r="D65" s="71"/>
      <c r="E65" s="70"/>
      <c r="F65" s="72"/>
      <c r="G65" s="25" t="s">
        <v>182</v>
      </c>
      <c r="H65" s="73"/>
      <c r="I65" s="19">
        <f>SUM(I63,I57,I45,I36,I22,I17,I11)</f>
        <v>123164.27198520249</v>
      </c>
    </row>
    <row r="68" spans="2:9" x14ac:dyDescent="0.25">
      <c r="I68" s="48"/>
    </row>
    <row r="70" spans="2:9" x14ac:dyDescent="0.25">
      <c r="F70" s="47"/>
    </row>
  </sheetData>
  <mergeCells count="4">
    <mergeCell ref="B2:G5"/>
    <mergeCell ref="I2:I3"/>
    <mergeCell ref="J2:J3"/>
    <mergeCell ref="I4:I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70"/>
  <sheetViews>
    <sheetView zoomScale="80" zoomScaleNormal="80" workbookViewId="0">
      <selection activeCell="D67" sqref="D67"/>
    </sheetView>
  </sheetViews>
  <sheetFormatPr defaultColWidth="9.140625" defaultRowHeight="15" x14ac:dyDescent="0.25"/>
  <cols>
    <col min="1" max="1" width="4.85546875" style="1" customWidth="1"/>
    <col min="2" max="2" width="7.140625" style="2" customWidth="1"/>
    <col min="3" max="3" width="17.42578125" style="2" customWidth="1"/>
    <col min="4" max="4" width="88.85546875" style="3" customWidth="1"/>
    <col min="5" max="5" width="5.7109375" style="2" customWidth="1"/>
    <col min="6" max="6" width="9.140625" style="2" customWidth="1"/>
    <col min="7" max="7" width="15.28515625" style="44" customWidth="1"/>
    <col min="8" max="8" width="17.5703125" style="4" customWidth="1"/>
    <col min="9" max="9" width="22.5703125" style="4" customWidth="1"/>
    <col min="10" max="10" width="1.140625" style="1" customWidth="1"/>
    <col min="11" max="11" width="21.85546875" style="2" customWidth="1"/>
    <col min="12" max="16384" width="9.140625" style="2"/>
  </cols>
  <sheetData>
    <row r="1" spans="1:34" ht="15.75" thickBot="1" x14ac:dyDescent="0.3"/>
    <row r="2" spans="1:34" ht="21" x14ac:dyDescent="0.25">
      <c r="B2" s="315" t="s">
        <v>107</v>
      </c>
      <c r="C2" s="316"/>
      <c r="D2" s="316"/>
      <c r="E2" s="316"/>
      <c r="F2" s="316"/>
      <c r="G2" s="316"/>
      <c r="H2" s="5"/>
      <c r="I2" s="321" t="s">
        <v>18</v>
      </c>
      <c r="J2" s="323"/>
    </row>
    <row r="3" spans="1:34" ht="23.25" customHeight="1" thickBot="1" x14ac:dyDescent="0.3">
      <c r="B3" s="317"/>
      <c r="C3" s="318"/>
      <c r="D3" s="318"/>
      <c r="E3" s="318"/>
      <c r="F3" s="318"/>
      <c r="G3" s="318"/>
      <c r="H3" s="6"/>
      <c r="I3" s="322"/>
      <c r="J3" s="323"/>
    </row>
    <row r="4" spans="1:34" ht="15" customHeight="1" x14ac:dyDescent="0.25">
      <c r="B4" s="317"/>
      <c r="C4" s="318"/>
      <c r="D4" s="318"/>
      <c r="E4" s="318"/>
      <c r="F4" s="318"/>
      <c r="G4" s="318"/>
      <c r="H4" s="6"/>
      <c r="I4" s="324" t="s">
        <v>202</v>
      </c>
      <c r="J4" s="7">
        <v>0.24510000000000001</v>
      </c>
    </row>
    <row r="5" spans="1:34" ht="33" customHeight="1" thickBot="1" x14ac:dyDescent="0.3">
      <c r="B5" s="319"/>
      <c r="C5" s="320"/>
      <c r="D5" s="320"/>
      <c r="E5" s="320"/>
      <c r="F5" s="320"/>
      <c r="G5" s="320"/>
      <c r="H5" s="8"/>
      <c r="I5" s="325"/>
      <c r="J5" s="9"/>
    </row>
    <row r="6" spans="1:34" ht="6" customHeight="1" thickBot="1" x14ac:dyDescent="0.3">
      <c r="B6" s="1"/>
      <c r="C6" s="1"/>
      <c r="D6" s="10"/>
      <c r="E6" s="11"/>
      <c r="F6" s="11"/>
      <c r="G6" s="24"/>
      <c r="H6" s="12"/>
      <c r="I6" s="12"/>
    </row>
    <row r="7" spans="1:34" ht="45.75" customHeight="1" thickBot="1" x14ac:dyDescent="0.3">
      <c r="B7" s="32" t="s">
        <v>2</v>
      </c>
      <c r="C7" s="32" t="s">
        <v>8</v>
      </c>
      <c r="D7" s="33" t="s">
        <v>3</v>
      </c>
      <c r="E7" s="34" t="s">
        <v>4</v>
      </c>
      <c r="F7" s="34" t="s">
        <v>57</v>
      </c>
      <c r="G7" s="35" t="s">
        <v>62</v>
      </c>
      <c r="H7" s="36" t="s">
        <v>25</v>
      </c>
      <c r="I7" s="37" t="s">
        <v>5</v>
      </c>
      <c r="J7" s="13"/>
    </row>
    <row r="8" spans="1:34" ht="15.75" x14ac:dyDescent="0.3">
      <c r="B8" s="16">
        <v>1</v>
      </c>
      <c r="C8" s="26"/>
      <c r="D8" s="40" t="s">
        <v>52</v>
      </c>
      <c r="E8" s="30"/>
      <c r="F8" s="30"/>
      <c r="G8" s="45"/>
      <c r="H8" s="41"/>
      <c r="I8" s="42"/>
    </row>
    <row r="9" spans="1:34" s="1" customFormat="1" x14ac:dyDescent="0.25">
      <c r="B9" s="101" t="s">
        <v>64</v>
      </c>
      <c r="C9" s="163">
        <v>2707</v>
      </c>
      <c r="D9" s="180" t="s">
        <v>53</v>
      </c>
      <c r="E9" s="167" t="s">
        <v>31</v>
      </c>
      <c r="F9" s="17">
        <v>24</v>
      </c>
      <c r="G9" s="168">
        <v>103.04</v>
      </c>
      <c r="H9" s="18">
        <f>G9*1.2555</f>
        <v>129.36672000000002</v>
      </c>
      <c r="I9" s="161">
        <f>H9*F9</f>
        <v>3104.8012800000006</v>
      </c>
    </row>
    <row r="10" spans="1:34" s="1" customFormat="1" x14ac:dyDescent="0.25">
      <c r="B10" s="101" t="s">
        <v>65</v>
      </c>
      <c r="C10" s="181" t="s">
        <v>59</v>
      </c>
      <c r="D10" s="182" t="s">
        <v>58</v>
      </c>
      <c r="E10" s="167" t="s">
        <v>31</v>
      </c>
      <c r="F10" s="17">
        <v>84</v>
      </c>
      <c r="G10" s="168">
        <v>23.11</v>
      </c>
      <c r="H10" s="18">
        <f>G10*1.2555</f>
        <v>29.014605</v>
      </c>
      <c r="I10" s="161">
        <f>H10*F10</f>
        <v>2437.2268199999999</v>
      </c>
    </row>
    <row r="11" spans="1:34" s="80" customFormat="1" ht="15.75" x14ac:dyDescent="0.25">
      <c r="A11" s="1"/>
      <c r="B11" s="81"/>
      <c r="C11" s="82"/>
      <c r="D11" s="83"/>
      <c r="E11" s="84"/>
      <c r="F11" s="72"/>
      <c r="G11" s="25" t="s">
        <v>1</v>
      </c>
      <c r="H11" s="19"/>
      <c r="I11" s="19">
        <f>SUM(I9:I10)</f>
        <v>5542.0281000000004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1" customFormat="1" ht="15.75" x14ac:dyDescent="0.25">
      <c r="B12" s="101"/>
      <c r="C12" s="91"/>
      <c r="D12" s="92"/>
      <c r="E12" s="93"/>
      <c r="F12" s="50"/>
      <c r="G12" s="138"/>
      <c r="H12" s="94"/>
      <c r="I12" s="94"/>
    </row>
    <row r="13" spans="1:34" ht="15.75" x14ac:dyDescent="0.3">
      <c r="A13" s="2"/>
      <c r="B13" s="186">
        <v>2</v>
      </c>
      <c r="C13" s="187"/>
      <c r="D13" s="185" t="s">
        <v>105</v>
      </c>
      <c r="E13" s="188"/>
      <c r="F13" s="187"/>
      <c r="G13" s="189"/>
      <c r="H13" s="189"/>
      <c r="I13" s="190"/>
      <c r="J13" s="2"/>
    </row>
    <row r="14" spans="1:34" s="154" customFormat="1" ht="17.25" customHeight="1" x14ac:dyDescent="0.25">
      <c r="B14" s="167" t="s">
        <v>66</v>
      </c>
      <c r="C14" s="174" t="s">
        <v>79</v>
      </c>
      <c r="D14" s="175" t="s">
        <v>92</v>
      </c>
      <c r="E14" s="176" t="s">
        <v>32</v>
      </c>
      <c r="F14" s="177">
        <v>1</v>
      </c>
      <c r="G14" s="178">
        <f>Composições!G37</f>
        <v>457.40999999999997</v>
      </c>
      <c r="H14" s="178">
        <f>G14*1.255</f>
        <v>574.04954999999995</v>
      </c>
      <c r="I14" s="164">
        <f>TRUNC(H14*F14,2)</f>
        <v>574.04</v>
      </c>
    </row>
    <row r="15" spans="1:34" s="154" customFormat="1" ht="27" x14ac:dyDescent="0.25">
      <c r="B15" s="167" t="s">
        <v>89</v>
      </c>
      <c r="C15" s="163" t="s">
        <v>127</v>
      </c>
      <c r="D15" s="175" t="s">
        <v>93</v>
      </c>
      <c r="E15" s="163" t="s">
        <v>0</v>
      </c>
      <c r="F15" s="179">
        <v>1</v>
      </c>
      <c r="G15" s="164">
        <f>Composições!G42</f>
        <v>299.19400000000002</v>
      </c>
      <c r="H15" s="178">
        <f>G15*1.255</f>
        <v>375.48847000000001</v>
      </c>
      <c r="I15" s="164">
        <f>TRUNC(H15*F15,2)</f>
        <v>375.48</v>
      </c>
    </row>
    <row r="16" spans="1:34" s="154" customFormat="1" ht="15" customHeight="1" x14ac:dyDescent="0.25">
      <c r="B16" s="167" t="s">
        <v>145</v>
      </c>
      <c r="C16" s="163" t="s">
        <v>90</v>
      </c>
      <c r="D16" s="175" t="s">
        <v>91</v>
      </c>
      <c r="E16" s="163" t="s">
        <v>32</v>
      </c>
      <c r="F16" s="179">
        <v>2</v>
      </c>
      <c r="G16" s="164">
        <v>250</v>
      </c>
      <c r="H16" s="178">
        <f>G16*1.255</f>
        <v>313.75</v>
      </c>
      <c r="I16" s="164">
        <f>TRUNC(H16*F16,2)</f>
        <v>627.5</v>
      </c>
    </row>
    <row r="17" spans="1:34" s="151" customFormat="1" ht="15" customHeight="1" x14ac:dyDescent="0.25">
      <c r="B17" s="153"/>
      <c r="C17" s="139"/>
      <c r="D17" s="140"/>
      <c r="E17" s="141"/>
      <c r="F17" s="142"/>
      <c r="G17" s="25" t="s">
        <v>1</v>
      </c>
      <c r="H17" s="143"/>
      <c r="I17" s="19">
        <f>SUM(I14:I16)</f>
        <v>1577.02</v>
      </c>
    </row>
    <row r="18" spans="1:34" s="151" customFormat="1" ht="15" customHeight="1" x14ac:dyDescent="0.25">
      <c r="B18" s="152"/>
      <c r="C18" s="144"/>
      <c r="D18" s="145"/>
      <c r="E18" s="146"/>
      <c r="F18" s="147"/>
      <c r="G18" s="148"/>
      <c r="H18" s="149"/>
      <c r="I18" s="150"/>
    </row>
    <row r="19" spans="1:34" ht="15.75" x14ac:dyDescent="0.3">
      <c r="B19" s="16">
        <v>3</v>
      </c>
      <c r="C19" s="26"/>
      <c r="D19" s="40" t="s">
        <v>81</v>
      </c>
      <c r="E19" s="30"/>
      <c r="F19" s="30"/>
      <c r="G19" s="45"/>
      <c r="H19" s="41"/>
      <c r="I19" s="4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154" customFormat="1" ht="13.5" x14ac:dyDescent="0.25">
      <c r="B20" s="163" t="s">
        <v>67</v>
      </c>
      <c r="C20" s="167" t="s">
        <v>126</v>
      </c>
      <c r="D20" s="162" t="s">
        <v>82</v>
      </c>
      <c r="E20" s="167" t="s">
        <v>32</v>
      </c>
      <c r="F20" s="170">
        <v>1</v>
      </c>
      <c r="G20" s="168">
        <f>Composições!G29</f>
        <v>756.52</v>
      </c>
      <c r="H20" s="171">
        <f>G20*1.2555</f>
        <v>949.81086000000005</v>
      </c>
      <c r="I20" s="172">
        <f>H20*F20</f>
        <v>949.81086000000005</v>
      </c>
    </row>
    <row r="21" spans="1:34" s="154" customFormat="1" ht="13.5" x14ac:dyDescent="0.25">
      <c r="B21" s="163" t="s">
        <v>63</v>
      </c>
      <c r="C21" s="173" t="s">
        <v>60</v>
      </c>
      <c r="D21" s="162" t="s">
        <v>85</v>
      </c>
      <c r="E21" s="167" t="s">
        <v>32</v>
      </c>
      <c r="F21" s="170">
        <v>1</v>
      </c>
      <c r="G21" s="168">
        <f>Composições!G33</f>
        <v>756.52</v>
      </c>
      <c r="H21" s="171">
        <f>G21*1.2555</f>
        <v>949.81086000000005</v>
      </c>
      <c r="I21" s="172">
        <f>H21*F21</f>
        <v>949.81086000000005</v>
      </c>
    </row>
    <row r="22" spans="1:34" s="158" customFormat="1" ht="15.75" x14ac:dyDescent="0.25">
      <c r="A22" s="154"/>
      <c r="B22" s="155"/>
      <c r="C22" s="82"/>
      <c r="D22" s="89"/>
      <c r="E22" s="90"/>
      <c r="F22" s="156"/>
      <c r="G22" s="184" t="s">
        <v>1</v>
      </c>
      <c r="H22" s="157"/>
      <c r="I22" s="19">
        <f>SUM(I20:I21)</f>
        <v>1899.6217200000001</v>
      </c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4" s="1" customFormat="1" ht="15.75" x14ac:dyDescent="0.25">
      <c r="B23" s="14"/>
      <c r="C23" s="91"/>
      <c r="D23" s="95"/>
      <c r="E23" s="96"/>
      <c r="F23" s="97"/>
      <c r="G23" s="98"/>
      <c r="H23" s="99"/>
      <c r="I23" s="100"/>
    </row>
    <row r="24" spans="1:34" ht="15.75" x14ac:dyDescent="0.3">
      <c r="B24" s="16">
        <v>4</v>
      </c>
      <c r="C24" s="26"/>
      <c r="D24" s="86" t="s">
        <v>9</v>
      </c>
      <c r="E24" s="85"/>
      <c r="F24" s="85"/>
      <c r="G24" s="87"/>
      <c r="H24" s="88"/>
      <c r="I24" s="79"/>
    </row>
    <row r="25" spans="1:34" s="154" customFormat="1" ht="13.5" x14ac:dyDescent="0.25">
      <c r="B25" s="163" t="s">
        <v>68</v>
      </c>
      <c r="C25" s="165" t="s">
        <v>125</v>
      </c>
      <c r="D25" s="166" t="s">
        <v>77</v>
      </c>
      <c r="E25" s="167" t="s">
        <v>6</v>
      </c>
      <c r="F25" s="170">
        <v>22.4</v>
      </c>
      <c r="G25" s="168">
        <f>Composições!G26</f>
        <v>2.9811000000000001</v>
      </c>
      <c r="H25" s="171">
        <f t="shared" ref="H25:H35" si="0">G25*1.2555</f>
        <v>3.7427710500000004</v>
      </c>
      <c r="I25" s="172">
        <f t="shared" ref="I25:I35" si="1">H25*F25</f>
        <v>83.83807152</v>
      </c>
    </row>
    <row r="26" spans="1:34" s="154" customFormat="1" ht="27" x14ac:dyDescent="0.25">
      <c r="B26" s="163" t="s">
        <v>117</v>
      </c>
      <c r="C26" s="165">
        <v>97647</v>
      </c>
      <c r="D26" s="162" t="s">
        <v>55</v>
      </c>
      <c r="E26" s="167" t="s">
        <v>0</v>
      </c>
      <c r="F26" s="170">
        <v>280.83999999999997</v>
      </c>
      <c r="G26" s="168">
        <v>2.5499999999999998</v>
      </c>
      <c r="H26" s="171">
        <f t="shared" si="0"/>
        <v>3.2015249999999997</v>
      </c>
      <c r="I26" s="172">
        <f t="shared" si="1"/>
        <v>899.11628099999984</v>
      </c>
    </row>
    <row r="27" spans="1:34" s="154" customFormat="1" ht="27" x14ac:dyDescent="0.25">
      <c r="B27" s="163" t="s">
        <v>118</v>
      </c>
      <c r="C27" s="191">
        <v>97640</v>
      </c>
      <c r="D27" s="162" t="s">
        <v>54</v>
      </c>
      <c r="E27" s="167" t="s">
        <v>0</v>
      </c>
      <c r="F27" s="170">
        <v>223.89</v>
      </c>
      <c r="G27" s="168">
        <v>1.1499999999999999</v>
      </c>
      <c r="H27" s="171">
        <f t="shared" si="0"/>
        <v>1.4438249999999999</v>
      </c>
      <c r="I27" s="172">
        <f t="shared" si="1"/>
        <v>323.25797924999995</v>
      </c>
    </row>
    <row r="28" spans="1:34" s="154" customFormat="1" ht="27" x14ac:dyDescent="0.25">
      <c r="B28" s="163"/>
      <c r="C28" s="181">
        <v>97650</v>
      </c>
      <c r="D28" s="162" t="s">
        <v>167</v>
      </c>
      <c r="E28" s="167" t="s">
        <v>0</v>
      </c>
      <c r="F28" s="170">
        <v>280.83999999999997</v>
      </c>
      <c r="G28" s="168">
        <v>5.5</v>
      </c>
      <c r="H28" s="171">
        <f t="shared" si="0"/>
        <v>6.9052500000000006</v>
      </c>
      <c r="I28" s="172">
        <f t="shared" si="1"/>
        <v>1939.2704100000001</v>
      </c>
    </row>
    <row r="29" spans="1:34" s="154" customFormat="1" ht="27" x14ac:dyDescent="0.25">
      <c r="B29" s="163"/>
      <c r="C29" s="167">
        <v>97651</v>
      </c>
      <c r="D29" s="162" t="s">
        <v>168</v>
      </c>
      <c r="E29" s="167" t="s">
        <v>0</v>
      </c>
      <c r="F29" s="170">
        <v>6</v>
      </c>
      <c r="G29" s="168">
        <v>60.9</v>
      </c>
      <c r="H29" s="171">
        <f t="shared" si="0"/>
        <v>76.459950000000006</v>
      </c>
      <c r="I29" s="172">
        <f t="shared" si="1"/>
        <v>458.75970000000007</v>
      </c>
    </row>
    <row r="30" spans="1:34" s="154" customFormat="1" ht="27" x14ac:dyDescent="0.25">
      <c r="B30" s="163" t="s">
        <v>146</v>
      </c>
      <c r="C30" s="165">
        <v>94218</v>
      </c>
      <c r="D30" s="169" t="s">
        <v>166</v>
      </c>
      <c r="E30" s="167" t="s">
        <v>13</v>
      </c>
      <c r="F30" s="170">
        <v>280.83999999999997</v>
      </c>
      <c r="G30" s="168">
        <v>111.28</v>
      </c>
      <c r="H30" s="171">
        <f t="shared" si="0"/>
        <v>139.71204</v>
      </c>
      <c r="I30" s="172">
        <f t="shared" si="1"/>
        <v>39236.729313599993</v>
      </c>
    </row>
    <row r="31" spans="1:34" s="154" customFormat="1" ht="33" customHeight="1" x14ac:dyDescent="0.25">
      <c r="B31" s="163" t="s">
        <v>147</v>
      </c>
      <c r="C31" s="163">
        <v>94228</v>
      </c>
      <c r="D31" s="192" t="s">
        <v>19</v>
      </c>
      <c r="E31" s="163" t="s">
        <v>6</v>
      </c>
      <c r="F31" s="170">
        <v>22.4</v>
      </c>
      <c r="G31" s="193">
        <v>80.239999999999995</v>
      </c>
      <c r="H31" s="171">
        <f t="shared" si="0"/>
        <v>100.74132</v>
      </c>
      <c r="I31" s="172">
        <f t="shared" si="1"/>
        <v>2256.6055679999999</v>
      </c>
    </row>
    <row r="32" spans="1:34" s="154" customFormat="1" ht="27" x14ac:dyDescent="0.25">
      <c r="B32" s="163" t="s">
        <v>148</v>
      </c>
      <c r="C32" s="163">
        <v>94231</v>
      </c>
      <c r="D32" s="192" t="s">
        <v>20</v>
      </c>
      <c r="E32" s="163" t="s">
        <v>6</v>
      </c>
      <c r="F32" s="170">
        <v>22.4</v>
      </c>
      <c r="G32" s="193">
        <v>47.16</v>
      </c>
      <c r="H32" s="171">
        <f t="shared" si="0"/>
        <v>59.209379999999996</v>
      </c>
      <c r="I32" s="172">
        <f t="shared" si="1"/>
        <v>1326.2901119999999</v>
      </c>
    </row>
    <row r="33" spans="2:9" s="154" customFormat="1" ht="13.5" x14ac:dyDescent="0.25">
      <c r="B33" s="163" t="s">
        <v>149</v>
      </c>
      <c r="C33" s="163" t="s">
        <v>44</v>
      </c>
      <c r="D33" s="194" t="s">
        <v>24</v>
      </c>
      <c r="E33" s="163" t="s">
        <v>0</v>
      </c>
      <c r="F33" s="170">
        <v>20.100000000000001</v>
      </c>
      <c r="G33" s="193">
        <f>Composições!G5</f>
        <v>47.160000000000004</v>
      </c>
      <c r="H33" s="171">
        <f t="shared" si="0"/>
        <v>59.20938000000001</v>
      </c>
      <c r="I33" s="172">
        <f t="shared" si="1"/>
        <v>1190.1085380000002</v>
      </c>
    </row>
    <row r="34" spans="2:9" s="154" customFormat="1" ht="40.5" x14ac:dyDescent="0.25">
      <c r="B34" s="163" t="s">
        <v>150</v>
      </c>
      <c r="C34" s="173">
        <v>92602</v>
      </c>
      <c r="D34" s="195" t="s">
        <v>123</v>
      </c>
      <c r="E34" s="196" t="s">
        <v>13</v>
      </c>
      <c r="F34" s="197">
        <v>6</v>
      </c>
      <c r="G34" s="198">
        <v>762.78</v>
      </c>
      <c r="H34" s="171">
        <f t="shared" si="0"/>
        <v>957.67029000000002</v>
      </c>
      <c r="I34" s="172">
        <f t="shared" si="1"/>
        <v>5746.0217400000001</v>
      </c>
    </row>
    <row r="35" spans="2:9" s="154" customFormat="1" ht="27" x14ac:dyDescent="0.25">
      <c r="B35" s="163" t="s">
        <v>151</v>
      </c>
      <c r="C35" s="167">
        <v>96114</v>
      </c>
      <c r="D35" s="195" t="s">
        <v>124</v>
      </c>
      <c r="E35" s="196" t="s">
        <v>0</v>
      </c>
      <c r="F35" s="197">
        <v>223.89</v>
      </c>
      <c r="G35" s="198">
        <v>64.540000000000006</v>
      </c>
      <c r="H35" s="171">
        <f t="shared" si="0"/>
        <v>81.029970000000006</v>
      </c>
      <c r="I35" s="172">
        <f t="shared" si="1"/>
        <v>18141.799983299999</v>
      </c>
    </row>
    <row r="36" spans="2:9" ht="15.75" x14ac:dyDescent="0.25">
      <c r="B36" s="23"/>
      <c r="C36" s="20"/>
      <c r="D36" s="20"/>
      <c r="E36" s="20"/>
      <c r="F36" s="20"/>
      <c r="G36" s="25" t="s">
        <v>1</v>
      </c>
      <c r="H36" s="22"/>
      <c r="I36" s="19">
        <f>SUM(I25:I35)</f>
        <v>71601.797696669993</v>
      </c>
    </row>
    <row r="37" spans="2:9" ht="15.75" x14ac:dyDescent="0.25">
      <c r="B37" s="68"/>
      <c r="C37" s="28"/>
      <c r="D37" s="28"/>
      <c r="E37" s="28"/>
      <c r="F37" s="28"/>
      <c r="G37" s="27"/>
      <c r="H37" s="29"/>
      <c r="I37" s="49"/>
    </row>
    <row r="38" spans="2:9" ht="15.75" x14ac:dyDescent="0.3">
      <c r="B38" s="38">
        <v>5</v>
      </c>
      <c r="C38" s="39"/>
      <c r="D38" s="43" t="s">
        <v>108</v>
      </c>
      <c r="E38" s="43"/>
      <c r="F38" s="43"/>
      <c r="G38" s="15"/>
      <c r="H38" s="43"/>
      <c r="I38" s="31"/>
    </row>
    <row r="39" spans="2:9" s="154" customFormat="1" ht="13.5" x14ac:dyDescent="0.25">
      <c r="B39" s="163" t="s">
        <v>69</v>
      </c>
      <c r="C39" s="163" t="s">
        <v>87</v>
      </c>
      <c r="D39" s="166" t="s">
        <v>109</v>
      </c>
      <c r="E39" s="163" t="s">
        <v>0</v>
      </c>
      <c r="F39" s="170">
        <v>2</v>
      </c>
      <c r="G39" s="193">
        <f>Composições!G49</f>
        <v>60.357299999999995</v>
      </c>
      <c r="H39" s="171">
        <f t="shared" ref="H39:H44" si="2">G39*1.2555</f>
        <v>75.778590149999999</v>
      </c>
      <c r="I39" s="172">
        <f t="shared" ref="I39:I44" si="3">H39*F39</f>
        <v>151.5571803</v>
      </c>
    </row>
    <row r="40" spans="2:9" s="154" customFormat="1" ht="13.5" x14ac:dyDescent="0.25">
      <c r="B40" s="163" t="s">
        <v>70</v>
      </c>
      <c r="C40" s="163" t="s">
        <v>88</v>
      </c>
      <c r="D40" s="166" t="s">
        <v>110</v>
      </c>
      <c r="E40" s="163" t="s">
        <v>0</v>
      </c>
      <c r="F40" s="170">
        <v>0.02</v>
      </c>
      <c r="G40" s="193">
        <f>Composições!G54</f>
        <v>30.355</v>
      </c>
      <c r="H40" s="171">
        <f t="shared" si="2"/>
        <v>38.110702500000002</v>
      </c>
      <c r="I40" s="172">
        <f t="shared" si="3"/>
        <v>0.76221405000000009</v>
      </c>
    </row>
    <row r="41" spans="2:9" s="154" customFormat="1" ht="13.5" x14ac:dyDescent="0.25">
      <c r="B41" s="163" t="s">
        <v>152</v>
      </c>
      <c r="C41" s="163" t="s">
        <v>103</v>
      </c>
      <c r="D41" s="166" t="s">
        <v>115</v>
      </c>
      <c r="E41" s="163" t="s">
        <v>0</v>
      </c>
      <c r="F41" s="170">
        <v>0.5</v>
      </c>
      <c r="G41" s="193">
        <f>Composições!G59</f>
        <v>33.268500000000003</v>
      </c>
      <c r="H41" s="171">
        <f t="shared" si="2"/>
        <v>41.768601750000009</v>
      </c>
      <c r="I41" s="172">
        <f t="shared" si="3"/>
        <v>20.884300875000005</v>
      </c>
    </row>
    <row r="42" spans="2:9" s="154" customFormat="1" ht="13.5" x14ac:dyDescent="0.25">
      <c r="B42" s="163" t="s">
        <v>157</v>
      </c>
      <c r="C42" s="163">
        <v>97631</v>
      </c>
      <c r="D42" s="166" t="s">
        <v>159</v>
      </c>
      <c r="E42" s="163" t="s">
        <v>0</v>
      </c>
      <c r="F42" s="170">
        <v>61.56</v>
      </c>
      <c r="G42" s="193">
        <v>2.38</v>
      </c>
      <c r="H42" s="171">
        <f t="shared" si="2"/>
        <v>2.9880900000000001</v>
      </c>
      <c r="I42" s="172">
        <f t="shared" si="3"/>
        <v>183.94682040000001</v>
      </c>
    </row>
    <row r="43" spans="2:9" s="154" customFormat="1" ht="54" x14ac:dyDescent="0.25">
      <c r="B43" s="163" t="s">
        <v>161</v>
      </c>
      <c r="C43" s="163">
        <v>98173</v>
      </c>
      <c r="D43" s="166" t="s">
        <v>160</v>
      </c>
      <c r="E43" s="163" t="s">
        <v>0</v>
      </c>
      <c r="F43" s="170">
        <v>61.56</v>
      </c>
      <c r="G43" s="193">
        <v>27.92</v>
      </c>
      <c r="H43" s="171">
        <f t="shared" si="2"/>
        <v>35.053560000000004</v>
      </c>
      <c r="I43" s="172">
        <f t="shared" si="3"/>
        <v>2157.8971536000004</v>
      </c>
    </row>
    <row r="44" spans="2:9" s="154" customFormat="1" ht="27" x14ac:dyDescent="0.25">
      <c r="B44" s="163" t="s">
        <v>163</v>
      </c>
      <c r="C44" s="163">
        <v>123</v>
      </c>
      <c r="D44" s="166" t="s">
        <v>162</v>
      </c>
      <c r="E44" s="163" t="s">
        <v>48</v>
      </c>
      <c r="F44" s="170">
        <v>2</v>
      </c>
      <c r="G44" s="193">
        <v>5.4</v>
      </c>
      <c r="H44" s="171">
        <f t="shared" si="2"/>
        <v>6.7797000000000009</v>
      </c>
      <c r="I44" s="172">
        <f t="shared" si="3"/>
        <v>13.559400000000002</v>
      </c>
    </row>
    <row r="45" spans="2:9" ht="15.75" x14ac:dyDescent="0.25">
      <c r="B45" s="69"/>
      <c r="C45" s="70"/>
      <c r="D45" s="71"/>
      <c r="E45" s="70"/>
      <c r="F45" s="72"/>
      <c r="G45" s="25" t="s">
        <v>1</v>
      </c>
      <c r="H45" s="73"/>
      <c r="I45" s="19">
        <f>SUM(I39:I44)</f>
        <v>2528.6070692250005</v>
      </c>
    </row>
    <row r="46" spans="2:9" ht="15.75" x14ac:dyDescent="0.25">
      <c r="B46" s="68"/>
      <c r="C46" s="28"/>
      <c r="D46" s="28"/>
      <c r="E46" s="28"/>
      <c r="F46" s="28"/>
      <c r="G46" s="27"/>
      <c r="H46" s="29"/>
      <c r="I46" s="49"/>
    </row>
    <row r="47" spans="2:9" ht="15.75" x14ac:dyDescent="0.3">
      <c r="B47" s="26">
        <v>6</v>
      </c>
      <c r="C47" s="46"/>
      <c r="D47" s="30" t="s">
        <v>122</v>
      </c>
      <c r="E47" s="30"/>
      <c r="F47" s="30"/>
      <c r="G47" s="30"/>
      <c r="H47" s="30"/>
      <c r="I47" s="31"/>
    </row>
    <row r="48" spans="2:9" s="154" customFormat="1" ht="13.5" x14ac:dyDescent="0.25">
      <c r="B48" s="199" t="s">
        <v>71</v>
      </c>
      <c r="C48" s="199" t="s">
        <v>106</v>
      </c>
      <c r="D48" s="200" t="s">
        <v>61</v>
      </c>
      <c r="E48" s="196" t="s">
        <v>0</v>
      </c>
      <c r="F48" s="201">
        <v>696.69</v>
      </c>
      <c r="G48" s="202">
        <f>Composições!G23</f>
        <v>4.9544999999999995</v>
      </c>
      <c r="H48" s="171">
        <f t="shared" ref="H48:H55" si="4">G48*1.2555</f>
        <v>6.2203747499999995</v>
      </c>
      <c r="I48" s="172">
        <f t="shared" ref="I48:I56" si="5">H48*F48</f>
        <v>4333.6728845774996</v>
      </c>
    </row>
    <row r="49" spans="2:9" s="154" customFormat="1" ht="13.5" x14ac:dyDescent="0.25">
      <c r="B49" s="199" t="s">
        <v>72</v>
      </c>
      <c r="C49" s="199">
        <v>88485</v>
      </c>
      <c r="D49" s="200" t="s">
        <v>21</v>
      </c>
      <c r="E49" s="196" t="s">
        <v>0</v>
      </c>
      <c r="F49" s="201">
        <v>696.69</v>
      </c>
      <c r="G49" s="202">
        <v>1.68</v>
      </c>
      <c r="H49" s="171">
        <f t="shared" si="4"/>
        <v>2.1092400000000002</v>
      </c>
      <c r="I49" s="172">
        <f t="shared" si="5"/>
        <v>1469.4864156000003</v>
      </c>
    </row>
    <row r="50" spans="2:9" s="154" customFormat="1" ht="13.5" x14ac:dyDescent="0.25">
      <c r="B50" s="199" t="s">
        <v>153</v>
      </c>
      <c r="C50" s="163">
        <v>88497</v>
      </c>
      <c r="D50" s="192" t="s">
        <v>22</v>
      </c>
      <c r="E50" s="196" t="s">
        <v>0</v>
      </c>
      <c r="F50" s="170">
        <v>455.33</v>
      </c>
      <c r="G50" s="193">
        <v>12.3</v>
      </c>
      <c r="H50" s="171">
        <f t="shared" si="4"/>
        <v>15.442650000000002</v>
      </c>
      <c r="I50" s="172">
        <f t="shared" si="5"/>
        <v>7031.501824500001</v>
      </c>
    </row>
    <row r="51" spans="2:9" s="154" customFormat="1" ht="13.5" x14ac:dyDescent="0.25">
      <c r="B51" s="199" t="s">
        <v>73</v>
      </c>
      <c r="C51" s="163">
        <v>95305</v>
      </c>
      <c r="D51" s="166" t="s">
        <v>23</v>
      </c>
      <c r="E51" s="163" t="s">
        <v>0</v>
      </c>
      <c r="F51" s="170">
        <v>241.36</v>
      </c>
      <c r="G51" s="164">
        <v>13.79</v>
      </c>
      <c r="H51" s="171">
        <f t="shared" si="4"/>
        <v>17.313344999999998</v>
      </c>
      <c r="I51" s="172">
        <f t="shared" si="5"/>
        <v>4178.7489491999995</v>
      </c>
    </row>
    <row r="52" spans="2:9" s="154" customFormat="1" ht="13.5" x14ac:dyDescent="0.25">
      <c r="B52" s="199" t="s">
        <v>74</v>
      </c>
      <c r="C52" s="163">
        <v>88496</v>
      </c>
      <c r="D52" s="166" t="s">
        <v>191</v>
      </c>
      <c r="E52" s="163" t="s">
        <v>0</v>
      </c>
      <c r="F52" s="170">
        <v>223.89</v>
      </c>
      <c r="G52" s="164">
        <v>21.89</v>
      </c>
      <c r="H52" s="171">
        <f t="shared" si="4"/>
        <v>27.482895000000003</v>
      </c>
      <c r="I52" s="172">
        <f t="shared" si="5"/>
        <v>6153.1453615500004</v>
      </c>
    </row>
    <row r="53" spans="2:9" s="154" customFormat="1" ht="27" x14ac:dyDescent="0.25">
      <c r="B53" s="199" t="s">
        <v>75</v>
      </c>
      <c r="C53" s="163">
        <v>88488</v>
      </c>
      <c r="D53" s="166" t="s">
        <v>192</v>
      </c>
      <c r="E53" s="163" t="s">
        <v>0</v>
      </c>
      <c r="F53" s="170">
        <v>223.89</v>
      </c>
      <c r="G53" s="164">
        <v>14.73</v>
      </c>
      <c r="H53" s="171">
        <f t="shared" si="4"/>
        <v>18.493515000000002</v>
      </c>
      <c r="I53" s="172">
        <f t="shared" si="5"/>
        <v>4140.51307335</v>
      </c>
    </row>
    <row r="54" spans="2:9" s="154" customFormat="1" ht="27" x14ac:dyDescent="0.25">
      <c r="B54" s="199" t="s">
        <v>154</v>
      </c>
      <c r="C54" s="163" t="s">
        <v>45</v>
      </c>
      <c r="D54" s="166" t="s">
        <v>17</v>
      </c>
      <c r="E54" s="163" t="s">
        <v>0</v>
      </c>
      <c r="F54" s="170">
        <v>455.33</v>
      </c>
      <c r="G54" s="193">
        <f>Composições!G15</f>
        <v>11.25</v>
      </c>
      <c r="H54" s="171">
        <f t="shared" si="4"/>
        <v>14.124375000000001</v>
      </c>
      <c r="I54" s="172">
        <f t="shared" si="5"/>
        <v>6431.2516687500001</v>
      </c>
    </row>
    <row r="55" spans="2:9" s="154" customFormat="1" ht="27" x14ac:dyDescent="0.25">
      <c r="B55" s="199" t="s">
        <v>193</v>
      </c>
      <c r="C55" s="163" t="s">
        <v>128</v>
      </c>
      <c r="D55" s="203" t="s">
        <v>50</v>
      </c>
      <c r="E55" s="163" t="s">
        <v>0</v>
      </c>
      <c r="F55" s="170">
        <v>241.36</v>
      </c>
      <c r="G55" s="193">
        <f>Composições!G19</f>
        <v>7.6184999999999992</v>
      </c>
      <c r="H55" s="171">
        <f t="shared" si="4"/>
        <v>9.5650267499999995</v>
      </c>
      <c r="I55" s="172">
        <f t="shared" si="5"/>
        <v>2308.6148563800002</v>
      </c>
    </row>
    <row r="56" spans="2:9" s="154" customFormat="1" ht="13.5" x14ac:dyDescent="0.25">
      <c r="B56" s="199" t="s">
        <v>194</v>
      </c>
      <c r="C56" s="163" t="s">
        <v>104</v>
      </c>
      <c r="D56" s="203" t="s">
        <v>119</v>
      </c>
      <c r="E56" s="163" t="s">
        <v>6</v>
      </c>
      <c r="F56" s="170">
        <v>30</v>
      </c>
      <c r="G56" s="193">
        <f>Composições!G64</f>
        <v>19.098500000000001</v>
      </c>
      <c r="H56" s="171">
        <f>G56*1.2555</f>
        <v>23.978166750000003</v>
      </c>
      <c r="I56" s="172">
        <f t="shared" si="5"/>
        <v>719.34500250000008</v>
      </c>
    </row>
    <row r="57" spans="2:9" ht="15.75" x14ac:dyDescent="0.25">
      <c r="B57" s="23"/>
      <c r="C57" s="20"/>
      <c r="D57" s="20"/>
      <c r="E57" s="20"/>
      <c r="F57" s="20"/>
      <c r="G57" s="21" t="s">
        <v>1</v>
      </c>
      <c r="H57" s="22"/>
      <c r="I57" s="19">
        <f>SUM(I48:I56)</f>
        <v>36766.280036407501</v>
      </c>
    </row>
    <row r="58" spans="2:9" s="1" customFormat="1" ht="15.75" x14ac:dyDescent="0.25">
      <c r="B58" s="68"/>
      <c r="C58" s="28"/>
      <c r="D58" s="28"/>
      <c r="E58" s="28"/>
      <c r="F58" s="28"/>
      <c r="G58" s="28"/>
      <c r="H58" s="29"/>
      <c r="I58" s="94"/>
    </row>
    <row r="59" spans="2:9" ht="15.75" x14ac:dyDescent="0.3">
      <c r="B59" s="38">
        <v>7</v>
      </c>
      <c r="C59" s="39"/>
      <c r="D59" s="43" t="s">
        <v>136</v>
      </c>
      <c r="E59" s="43"/>
      <c r="F59" s="43"/>
      <c r="G59" s="15"/>
      <c r="H59" s="43"/>
      <c r="I59" s="31"/>
    </row>
    <row r="60" spans="2:9" s="154" customFormat="1" ht="13.5" x14ac:dyDescent="0.25">
      <c r="B60" s="163" t="s">
        <v>155</v>
      </c>
      <c r="C60" s="163" t="s">
        <v>135</v>
      </c>
      <c r="D60" s="166" t="s">
        <v>130</v>
      </c>
      <c r="E60" s="163" t="s">
        <v>0</v>
      </c>
      <c r="F60" s="170">
        <v>223.89</v>
      </c>
      <c r="G60" s="193">
        <f>Composições!G69</f>
        <v>4.2699999999999996</v>
      </c>
      <c r="H60" s="171">
        <f>G60*1.2555</f>
        <v>5.3609849999999994</v>
      </c>
      <c r="I60" s="172">
        <f>H60*F60</f>
        <v>1200.2709316499997</v>
      </c>
    </row>
    <row r="61" spans="2:9" s="154" customFormat="1" ht="27" x14ac:dyDescent="0.25">
      <c r="B61" s="163" t="s">
        <v>156</v>
      </c>
      <c r="C61" s="163">
        <v>98546</v>
      </c>
      <c r="D61" s="166" t="s">
        <v>164</v>
      </c>
      <c r="E61" s="163" t="s">
        <v>0</v>
      </c>
      <c r="F61" s="170">
        <v>8</v>
      </c>
      <c r="G61" s="193">
        <v>95.12</v>
      </c>
      <c r="H61" s="171">
        <f>G61*1.2555</f>
        <v>119.42316000000001</v>
      </c>
      <c r="I61" s="172">
        <f>H61*F61</f>
        <v>955.38528000000008</v>
      </c>
    </row>
    <row r="62" spans="2:9" s="154" customFormat="1" ht="13.5" x14ac:dyDescent="0.25">
      <c r="B62" s="163" t="s">
        <v>165</v>
      </c>
      <c r="C62" s="163" t="s">
        <v>129</v>
      </c>
      <c r="D62" s="166" t="s">
        <v>137</v>
      </c>
      <c r="E62" s="163" t="s">
        <v>0</v>
      </c>
      <c r="F62" s="170">
        <v>25</v>
      </c>
      <c r="G62" s="193">
        <f>Composições!G74</f>
        <v>65.269500000000008</v>
      </c>
      <c r="H62" s="171">
        <f>G62*1.2555</f>
        <v>81.945857250000017</v>
      </c>
      <c r="I62" s="172">
        <f>H62*F62</f>
        <v>2048.6464312500002</v>
      </c>
    </row>
    <row r="63" spans="2:9" ht="15.75" x14ac:dyDescent="0.25">
      <c r="B63" s="69"/>
      <c r="C63" s="70"/>
      <c r="D63" s="71"/>
      <c r="E63" s="70"/>
      <c r="F63" s="72"/>
      <c r="G63" s="25" t="s">
        <v>1</v>
      </c>
      <c r="H63" s="73"/>
      <c r="I63" s="19">
        <f>SUM(I62,I60)</f>
        <v>3248.9173628999997</v>
      </c>
    </row>
    <row r="65" spans="2:9" ht="15.75" x14ac:dyDescent="0.25">
      <c r="B65" s="69"/>
      <c r="C65" s="70"/>
      <c r="D65" s="71"/>
      <c r="E65" s="70"/>
      <c r="F65" s="72"/>
      <c r="G65" s="25" t="s">
        <v>182</v>
      </c>
      <c r="H65" s="73"/>
      <c r="I65" s="19">
        <f>SUM(I63,I57,I45,I36,I22,I17,I11)</f>
        <v>123164.27198520249</v>
      </c>
    </row>
    <row r="68" spans="2:9" x14ac:dyDescent="0.25">
      <c r="I68" s="48"/>
    </row>
    <row r="70" spans="2:9" x14ac:dyDescent="0.25">
      <c r="F70" s="47"/>
    </row>
  </sheetData>
  <mergeCells count="4">
    <mergeCell ref="B2:G5"/>
    <mergeCell ref="I2:I3"/>
    <mergeCell ref="J2:J3"/>
    <mergeCell ref="I4:I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zoomScale="80" zoomScaleNormal="80" workbookViewId="0">
      <selection activeCell="C65" sqref="C65"/>
    </sheetView>
  </sheetViews>
  <sheetFormatPr defaultRowHeight="15" x14ac:dyDescent="0.25"/>
  <cols>
    <col min="1" max="1" width="4.140625" customWidth="1"/>
    <col min="2" max="2" width="17.140625" customWidth="1"/>
    <col min="3" max="3" width="92.5703125" customWidth="1"/>
    <col min="4" max="4" width="8.5703125" bestFit="1" customWidth="1"/>
    <col min="5" max="5" width="19.5703125" customWidth="1"/>
    <col min="6" max="6" width="14" customWidth="1"/>
    <col min="7" max="7" width="14.140625" customWidth="1"/>
  </cols>
  <sheetData>
    <row r="2" spans="2:12" x14ac:dyDescent="0.25">
      <c r="B2" s="326" t="s">
        <v>200</v>
      </c>
      <c r="C2" s="327"/>
      <c r="D2" s="327"/>
      <c r="E2" s="327"/>
      <c r="F2" s="327"/>
      <c r="G2" s="328"/>
    </row>
    <row r="3" spans="2:12" x14ac:dyDescent="0.25">
      <c r="B3" s="326" t="s">
        <v>201</v>
      </c>
      <c r="C3" s="327"/>
      <c r="D3" s="327"/>
      <c r="E3" s="327"/>
      <c r="F3" s="327"/>
      <c r="G3" s="328"/>
    </row>
    <row r="4" spans="2:12" s="56" customFormat="1" ht="15.75" x14ac:dyDescent="0.25">
      <c r="B4" s="57" t="s">
        <v>8</v>
      </c>
      <c r="C4" s="210" t="s">
        <v>26</v>
      </c>
      <c r="D4" s="57" t="s">
        <v>27</v>
      </c>
      <c r="E4" s="211" t="s">
        <v>28</v>
      </c>
      <c r="F4" s="212" t="s">
        <v>29</v>
      </c>
      <c r="G4" s="212" t="s">
        <v>30</v>
      </c>
      <c r="H4" s="55"/>
      <c r="I4" s="55"/>
      <c r="J4" s="55"/>
      <c r="K4" s="55"/>
      <c r="L4" s="55"/>
    </row>
    <row r="5" spans="2:12" s="56" customFormat="1" ht="31.5" x14ac:dyDescent="0.25">
      <c r="B5" s="51" t="s">
        <v>11</v>
      </c>
      <c r="C5" s="63" t="s">
        <v>33</v>
      </c>
      <c r="D5" s="64" t="s">
        <v>6</v>
      </c>
      <c r="E5" s="65"/>
      <c r="F5" s="66"/>
      <c r="G5" s="66">
        <f>SUM(G6:G14)</f>
        <v>47.160000000000004</v>
      </c>
      <c r="H5" s="55"/>
      <c r="I5" s="55"/>
      <c r="J5" s="55"/>
      <c r="K5" s="55"/>
      <c r="L5" s="55"/>
    </row>
    <row r="6" spans="2:12" s="56" customFormat="1" ht="15.75" x14ac:dyDescent="0.25">
      <c r="B6" s="58">
        <v>142</v>
      </c>
      <c r="C6" s="59" t="s">
        <v>34</v>
      </c>
      <c r="D6" s="60" t="s">
        <v>35</v>
      </c>
      <c r="E6" s="61">
        <v>0.19800000000000001</v>
      </c>
      <c r="F6" s="62">
        <v>25.89</v>
      </c>
      <c r="G6" s="67">
        <f t="shared" ref="G6:G14" si="0">TRUNC(F6*E6,2)</f>
        <v>5.12</v>
      </c>
      <c r="H6" s="55"/>
      <c r="I6" s="55"/>
      <c r="J6" s="55"/>
      <c r="K6" s="55"/>
      <c r="L6" s="55"/>
    </row>
    <row r="7" spans="2:12" s="56" customFormat="1" ht="15.75" x14ac:dyDescent="0.25">
      <c r="B7" s="58">
        <v>5061</v>
      </c>
      <c r="C7" s="59" t="s">
        <v>36</v>
      </c>
      <c r="D7" s="60" t="s">
        <v>7</v>
      </c>
      <c r="E7" s="61">
        <v>6.0000000000000001E-3</v>
      </c>
      <c r="F7" s="67">
        <v>23</v>
      </c>
      <c r="G7" s="67">
        <f t="shared" si="0"/>
        <v>0.13</v>
      </c>
      <c r="H7" s="55"/>
      <c r="I7" s="55"/>
      <c r="J7" s="55"/>
      <c r="K7" s="55"/>
      <c r="L7" s="55"/>
    </row>
    <row r="8" spans="2:12" s="56" customFormat="1" ht="15.75" x14ac:dyDescent="0.25">
      <c r="B8" s="58">
        <v>5104</v>
      </c>
      <c r="C8" s="59" t="s">
        <v>37</v>
      </c>
      <c r="D8" s="60" t="s">
        <v>7</v>
      </c>
      <c r="E8" s="61">
        <v>1.1999999999999999E-3</v>
      </c>
      <c r="F8" s="67">
        <v>66.569999999999993</v>
      </c>
      <c r="G8" s="67">
        <f t="shared" si="0"/>
        <v>7.0000000000000007E-2</v>
      </c>
      <c r="H8" s="55"/>
      <c r="I8" s="55"/>
      <c r="J8" s="55"/>
      <c r="K8" s="55"/>
      <c r="L8" s="55"/>
    </row>
    <row r="9" spans="2:12" s="56" customFormat="1" ht="15.75" x14ac:dyDescent="0.25">
      <c r="B9" s="58">
        <v>13388</v>
      </c>
      <c r="C9" s="59" t="s">
        <v>38</v>
      </c>
      <c r="D9" s="60" t="s">
        <v>7</v>
      </c>
      <c r="E9" s="61">
        <v>4.4999999999999998E-2</v>
      </c>
      <c r="F9" s="67">
        <v>125.11</v>
      </c>
      <c r="G9" s="67">
        <f t="shared" si="0"/>
        <v>5.62</v>
      </c>
      <c r="H9" s="55"/>
      <c r="I9" s="55"/>
      <c r="J9" s="55"/>
      <c r="K9" s="55"/>
      <c r="L9" s="55"/>
    </row>
    <row r="10" spans="2:12" s="56" customFormat="1" ht="31.5" x14ac:dyDescent="0.25">
      <c r="B10" s="58">
        <v>40873</v>
      </c>
      <c r="C10" s="59" t="s">
        <v>39</v>
      </c>
      <c r="D10" s="60" t="s">
        <v>6</v>
      </c>
      <c r="E10" s="61">
        <v>1.05</v>
      </c>
      <c r="F10" s="67">
        <v>28.73</v>
      </c>
      <c r="G10" s="67">
        <f t="shared" si="0"/>
        <v>30.16</v>
      </c>
      <c r="H10" s="55"/>
      <c r="I10" s="55"/>
      <c r="J10" s="55"/>
      <c r="K10" s="55"/>
      <c r="L10" s="55"/>
    </row>
    <row r="11" spans="2:12" s="56" customFormat="1" ht="15.75" x14ac:dyDescent="0.25">
      <c r="B11" s="58">
        <v>88316</v>
      </c>
      <c r="C11" s="59" t="s">
        <v>40</v>
      </c>
      <c r="D11" s="60" t="s">
        <v>31</v>
      </c>
      <c r="E11" s="61">
        <v>0.20699999999999999</v>
      </c>
      <c r="F11" s="62">
        <v>15.65</v>
      </c>
      <c r="G11" s="67">
        <f t="shared" si="0"/>
        <v>3.23</v>
      </c>
      <c r="H11" s="55"/>
      <c r="I11" s="55"/>
      <c r="J11" s="55"/>
      <c r="K11" s="55"/>
      <c r="L11" s="55"/>
    </row>
    <row r="12" spans="2:12" s="56" customFormat="1" ht="15.75" x14ac:dyDescent="0.25">
      <c r="B12" s="58">
        <v>88323</v>
      </c>
      <c r="C12" s="59" t="s">
        <v>41</v>
      </c>
      <c r="D12" s="60" t="s">
        <v>31</v>
      </c>
      <c r="E12" s="61">
        <v>0.112</v>
      </c>
      <c r="F12" s="67">
        <v>21.12</v>
      </c>
      <c r="G12" s="67">
        <f t="shared" si="0"/>
        <v>2.36</v>
      </c>
      <c r="H12" s="55"/>
      <c r="I12" s="55"/>
      <c r="J12" s="55"/>
      <c r="K12" s="55"/>
      <c r="L12" s="55"/>
    </row>
    <row r="13" spans="2:12" s="56" customFormat="1" ht="31.5" x14ac:dyDescent="0.25">
      <c r="B13" s="58">
        <v>93281</v>
      </c>
      <c r="C13" s="59" t="s">
        <v>42</v>
      </c>
      <c r="D13" s="60" t="s">
        <v>10</v>
      </c>
      <c r="E13" s="61">
        <v>1.32E-2</v>
      </c>
      <c r="F13" s="67">
        <v>15.79</v>
      </c>
      <c r="G13" s="67">
        <f t="shared" si="0"/>
        <v>0.2</v>
      </c>
      <c r="H13" s="55"/>
      <c r="I13" s="55"/>
      <c r="J13" s="55"/>
      <c r="K13" s="55"/>
      <c r="L13" s="55"/>
    </row>
    <row r="14" spans="2:12" s="56" customFormat="1" ht="31.5" x14ac:dyDescent="0.25">
      <c r="B14" s="58">
        <v>93282</v>
      </c>
      <c r="C14" s="59" t="s">
        <v>42</v>
      </c>
      <c r="D14" s="60" t="s">
        <v>43</v>
      </c>
      <c r="E14" s="61">
        <v>1.83E-2</v>
      </c>
      <c r="F14" s="67">
        <v>14.78</v>
      </c>
      <c r="G14" s="67">
        <f t="shared" si="0"/>
        <v>0.27</v>
      </c>
      <c r="H14" s="55"/>
      <c r="I14" s="55"/>
      <c r="J14" s="55"/>
      <c r="K14" s="55"/>
      <c r="L14" s="55"/>
    </row>
    <row r="15" spans="2:12" s="56" customFormat="1" ht="31.5" x14ac:dyDescent="0.25">
      <c r="B15" s="74" t="s">
        <v>12</v>
      </c>
      <c r="C15" s="75" t="s">
        <v>17</v>
      </c>
      <c r="D15" s="76" t="s">
        <v>0</v>
      </c>
      <c r="E15" s="77"/>
      <c r="F15" s="78"/>
      <c r="G15" s="66">
        <f>SUM(G16:G18)</f>
        <v>11.25</v>
      </c>
      <c r="H15" s="55"/>
      <c r="I15" s="55"/>
      <c r="J15" s="55"/>
      <c r="K15" s="55"/>
      <c r="L15" s="55"/>
    </row>
    <row r="16" spans="2:12" s="56" customFormat="1" ht="15.75" x14ac:dyDescent="0.25">
      <c r="B16" s="60" t="s">
        <v>143</v>
      </c>
      <c r="C16" s="59" t="s">
        <v>47</v>
      </c>
      <c r="D16" s="60" t="s">
        <v>48</v>
      </c>
      <c r="E16" s="61">
        <v>0.2</v>
      </c>
      <c r="F16" s="67">
        <v>31.42</v>
      </c>
      <c r="G16" s="67">
        <f>TRUNC(F16*E16,2)</f>
        <v>6.28</v>
      </c>
      <c r="H16" s="55"/>
      <c r="I16" s="55"/>
      <c r="J16" s="55"/>
      <c r="K16" s="55"/>
      <c r="L16" s="55"/>
    </row>
    <row r="17" spans="2:12" s="56" customFormat="1" ht="15.75" x14ac:dyDescent="0.25">
      <c r="B17" s="58">
        <v>88310</v>
      </c>
      <c r="C17" s="59" t="s">
        <v>49</v>
      </c>
      <c r="D17" s="60" t="s">
        <v>31</v>
      </c>
      <c r="E17" s="61">
        <v>0.20100000000000001</v>
      </c>
      <c r="F17" s="67">
        <v>20.86</v>
      </c>
      <c r="G17" s="67">
        <f>TRUNC(F17*E17,2)</f>
        <v>4.1900000000000004</v>
      </c>
      <c r="H17" s="55"/>
      <c r="I17" s="55"/>
      <c r="J17" s="55"/>
      <c r="K17" s="55"/>
      <c r="L17" s="55"/>
    </row>
    <row r="18" spans="2:12" s="56" customFormat="1" ht="15.75" x14ac:dyDescent="0.25">
      <c r="B18" s="58">
        <v>88316</v>
      </c>
      <c r="C18" s="59" t="s">
        <v>40</v>
      </c>
      <c r="D18" s="60" t="s">
        <v>31</v>
      </c>
      <c r="E18" s="61">
        <v>0.05</v>
      </c>
      <c r="F18" s="62">
        <v>15.65</v>
      </c>
      <c r="G18" s="67">
        <f>TRUNC(F18*E18,2)</f>
        <v>0.78</v>
      </c>
      <c r="H18" s="55"/>
      <c r="I18" s="55"/>
      <c r="J18" s="55"/>
      <c r="K18" s="55"/>
      <c r="L18" s="55"/>
    </row>
    <row r="19" spans="2:12" s="56" customFormat="1" ht="31.5" x14ac:dyDescent="0.25">
      <c r="B19" s="74" t="s">
        <v>114</v>
      </c>
      <c r="C19" s="52" t="s">
        <v>50</v>
      </c>
      <c r="D19" s="51"/>
      <c r="E19" s="53"/>
      <c r="F19" s="54"/>
      <c r="G19" s="54">
        <f>SUM(G20:G22)</f>
        <v>7.6184999999999992</v>
      </c>
      <c r="H19" s="55"/>
      <c r="I19" s="55"/>
      <c r="J19" s="55"/>
      <c r="K19" s="55"/>
      <c r="L19" s="55"/>
    </row>
    <row r="20" spans="2:12" s="56" customFormat="1" ht="15.75" x14ac:dyDescent="0.25">
      <c r="B20" s="58">
        <v>88310</v>
      </c>
      <c r="C20" s="59" t="s">
        <v>49</v>
      </c>
      <c r="D20" s="60" t="s">
        <v>31</v>
      </c>
      <c r="E20" s="61">
        <v>0.2</v>
      </c>
      <c r="F20" s="67">
        <v>20.86</v>
      </c>
      <c r="G20" s="67">
        <f>E20*F20</f>
        <v>4.1719999999999997</v>
      </c>
      <c r="H20" s="55"/>
      <c r="I20" s="55"/>
      <c r="J20" s="55"/>
      <c r="K20" s="55"/>
      <c r="L20" s="55"/>
    </row>
    <row r="21" spans="2:12" s="56" customFormat="1" ht="15.75" x14ac:dyDescent="0.25">
      <c r="B21" s="58">
        <v>88316</v>
      </c>
      <c r="C21" s="59" t="s">
        <v>40</v>
      </c>
      <c r="D21" s="60" t="s">
        <v>31</v>
      </c>
      <c r="E21" s="61">
        <v>0.05</v>
      </c>
      <c r="F21" s="62">
        <v>15.65</v>
      </c>
      <c r="G21" s="67">
        <f>E21*F21</f>
        <v>0.78250000000000008</v>
      </c>
      <c r="H21" s="55"/>
      <c r="I21" s="55"/>
      <c r="J21" s="55"/>
      <c r="K21" s="55"/>
      <c r="L21" s="55"/>
    </row>
    <row r="22" spans="2:12" s="56" customFormat="1" ht="15.75" x14ac:dyDescent="0.25">
      <c r="B22" s="60" t="s">
        <v>143</v>
      </c>
      <c r="C22" s="59" t="s">
        <v>51</v>
      </c>
      <c r="D22" s="60" t="s">
        <v>48</v>
      </c>
      <c r="E22" s="61">
        <v>0.2</v>
      </c>
      <c r="F22" s="67">
        <v>13.32</v>
      </c>
      <c r="G22" s="67">
        <f>E22*F22</f>
        <v>2.6640000000000001</v>
      </c>
      <c r="H22" s="55"/>
      <c r="I22" s="55"/>
      <c r="J22" s="55"/>
      <c r="K22" s="55"/>
      <c r="L22" s="55"/>
    </row>
    <row r="23" spans="2:12" s="56" customFormat="1" ht="15.75" x14ac:dyDescent="0.25">
      <c r="B23" s="74" t="s">
        <v>14</v>
      </c>
      <c r="C23" s="52" t="s">
        <v>56</v>
      </c>
      <c r="D23" s="51"/>
      <c r="E23" s="53"/>
      <c r="F23" s="54"/>
      <c r="G23" s="54">
        <f>SUM(G24:G25)</f>
        <v>4.9544999999999995</v>
      </c>
      <c r="H23" s="55"/>
      <c r="I23" s="55"/>
      <c r="J23" s="55"/>
      <c r="K23" s="55"/>
      <c r="L23" s="55"/>
    </row>
    <row r="24" spans="2:12" s="56" customFormat="1" ht="15.75" x14ac:dyDescent="0.25">
      <c r="B24" s="58">
        <v>88310</v>
      </c>
      <c r="C24" s="59" t="s">
        <v>49</v>
      </c>
      <c r="D24" s="60" t="s">
        <v>31</v>
      </c>
      <c r="E24" s="61">
        <v>0.2</v>
      </c>
      <c r="F24" s="67">
        <v>20.86</v>
      </c>
      <c r="G24" s="67">
        <f>E24*F24</f>
        <v>4.1719999999999997</v>
      </c>
      <c r="H24" s="55"/>
      <c r="I24" s="55"/>
      <c r="J24" s="55"/>
      <c r="K24" s="55"/>
      <c r="L24" s="55"/>
    </row>
    <row r="25" spans="2:12" s="56" customFormat="1" ht="15.75" x14ac:dyDescent="0.25">
      <c r="B25" s="58">
        <v>88316</v>
      </c>
      <c r="C25" s="59" t="s">
        <v>40</v>
      </c>
      <c r="D25" s="60" t="s">
        <v>31</v>
      </c>
      <c r="E25" s="61">
        <v>0.05</v>
      </c>
      <c r="F25" s="62">
        <v>15.65</v>
      </c>
      <c r="G25" s="67">
        <f>E25*F25</f>
        <v>0.78250000000000008</v>
      </c>
      <c r="H25" s="55"/>
      <c r="I25" s="55"/>
      <c r="J25" s="55"/>
      <c r="K25" s="55"/>
      <c r="L25" s="55"/>
    </row>
    <row r="26" spans="2:12" s="106" customFormat="1" ht="15.75" x14ac:dyDescent="0.25">
      <c r="B26" s="102" t="s">
        <v>15</v>
      </c>
      <c r="C26" s="103" t="s">
        <v>77</v>
      </c>
      <c r="D26" s="118" t="s">
        <v>6</v>
      </c>
      <c r="E26" s="104"/>
      <c r="F26" s="105"/>
      <c r="G26" s="105">
        <f>SUM(G28,G27)</f>
        <v>2.9811000000000001</v>
      </c>
    </row>
    <row r="27" spans="2:12" s="113" customFormat="1" ht="15.75" x14ac:dyDescent="0.25">
      <c r="B27" s="107">
        <v>88316</v>
      </c>
      <c r="C27" s="108" t="s">
        <v>40</v>
      </c>
      <c r="D27" s="107" t="s">
        <v>31</v>
      </c>
      <c r="E27" s="109">
        <v>0.15</v>
      </c>
      <c r="F27" s="110">
        <v>15.65</v>
      </c>
      <c r="G27" s="111">
        <f>F27*E27</f>
        <v>2.3475000000000001</v>
      </c>
      <c r="H27" s="112"/>
    </row>
    <row r="28" spans="2:12" s="113" customFormat="1" ht="15.75" x14ac:dyDescent="0.25">
      <c r="B28" s="114">
        <v>88323</v>
      </c>
      <c r="C28" s="115" t="s">
        <v>41</v>
      </c>
      <c r="D28" s="116" t="s">
        <v>31</v>
      </c>
      <c r="E28" s="117">
        <v>0.03</v>
      </c>
      <c r="F28" s="110">
        <v>21.12</v>
      </c>
      <c r="G28" s="111">
        <f>F28*E28</f>
        <v>0.63360000000000005</v>
      </c>
    </row>
    <row r="29" spans="2:12" s="106" customFormat="1" ht="15.75" x14ac:dyDescent="0.25">
      <c r="B29" s="102" t="s">
        <v>16</v>
      </c>
      <c r="C29" s="103" t="s">
        <v>82</v>
      </c>
      <c r="D29" s="102" t="s">
        <v>13</v>
      </c>
      <c r="E29" s="104"/>
      <c r="F29" s="126"/>
      <c r="G29" s="126">
        <f>SUM(G30:G32)</f>
        <v>756.52</v>
      </c>
    </row>
    <row r="30" spans="2:12" s="113" customFormat="1" ht="15.75" x14ac:dyDescent="0.25">
      <c r="B30" s="107">
        <v>88316</v>
      </c>
      <c r="C30" s="108" t="s">
        <v>40</v>
      </c>
      <c r="D30" s="107" t="s">
        <v>31</v>
      </c>
      <c r="E30" s="109">
        <v>16</v>
      </c>
      <c r="F30" s="123">
        <v>15.65</v>
      </c>
      <c r="G30" s="123">
        <f>E30*F30</f>
        <v>250.4</v>
      </c>
    </row>
    <row r="31" spans="2:12" s="113" customFormat="1" ht="47.25" x14ac:dyDescent="0.25">
      <c r="B31" s="124">
        <v>73467</v>
      </c>
      <c r="C31" s="108" t="s">
        <v>83</v>
      </c>
      <c r="D31" s="107" t="s">
        <v>10</v>
      </c>
      <c r="E31" s="109">
        <v>2</v>
      </c>
      <c r="F31" s="123">
        <v>126.9</v>
      </c>
      <c r="G31" s="123">
        <f>E31*F31</f>
        <v>253.8</v>
      </c>
    </row>
    <row r="32" spans="2:12" s="113" customFormat="1" ht="38.1" customHeight="1" x14ac:dyDescent="0.25">
      <c r="B32" s="124">
        <v>5892</v>
      </c>
      <c r="C32" s="108" t="s">
        <v>84</v>
      </c>
      <c r="D32" s="107" t="s">
        <v>43</v>
      </c>
      <c r="E32" s="109">
        <v>8</v>
      </c>
      <c r="F32" s="123">
        <v>31.54</v>
      </c>
      <c r="G32" s="123">
        <f>E32*F32</f>
        <v>252.32</v>
      </c>
    </row>
    <row r="33" spans="2:7" s="106" customFormat="1" ht="15.75" x14ac:dyDescent="0.25">
      <c r="B33" s="102" t="s">
        <v>76</v>
      </c>
      <c r="C33" s="103" t="s">
        <v>85</v>
      </c>
      <c r="D33" s="102" t="s">
        <v>13</v>
      </c>
      <c r="E33" s="104"/>
      <c r="F33" s="126"/>
      <c r="G33" s="126">
        <f>SUM(G34:G36)</f>
        <v>756.52</v>
      </c>
    </row>
    <row r="34" spans="2:7" s="113" customFormat="1" ht="15.75" x14ac:dyDescent="0.25">
      <c r="B34" s="125">
        <v>88316</v>
      </c>
      <c r="C34" s="108" t="s">
        <v>40</v>
      </c>
      <c r="D34" s="107" t="s">
        <v>31</v>
      </c>
      <c r="E34" s="109">
        <v>16</v>
      </c>
      <c r="F34" s="123">
        <v>15.65</v>
      </c>
      <c r="G34" s="123">
        <f>E34*F34</f>
        <v>250.4</v>
      </c>
    </row>
    <row r="35" spans="2:7" s="113" customFormat="1" ht="47.25" x14ac:dyDescent="0.25">
      <c r="B35" s="124">
        <v>73467</v>
      </c>
      <c r="C35" s="108" t="s">
        <v>83</v>
      </c>
      <c r="D35" s="107" t="s">
        <v>10</v>
      </c>
      <c r="E35" s="109">
        <v>2</v>
      </c>
      <c r="F35" s="123">
        <v>126.9</v>
      </c>
      <c r="G35" s="123">
        <f>E35*F35</f>
        <v>253.8</v>
      </c>
    </row>
    <row r="36" spans="2:7" s="113" customFormat="1" ht="31.5" x14ac:dyDescent="0.25">
      <c r="B36" s="124">
        <v>5892</v>
      </c>
      <c r="C36" s="108" t="s">
        <v>84</v>
      </c>
      <c r="D36" s="107" t="s">
        <v>43</v>
      </c>
      <c r="E36" s="109">
        <v>8</v>
      </c>
      <c r="F36" s="123">
        <v>31.54</v>
      </c>
      <c r="G36" s="123">
        <f>E36*F36</f>
        <v>252.32</v>
      </c>
    </row>
    <row r="37" spans="2:7" s="55" customFormat="1" ht="15.75" x14ac:dyDescent="0.25">
      <c r="B37" s="51" t="s">
        <v>78</v>
      </c>
      <c r="C37" s="135" t="s">
        <v>94</v>
      </c>
      <c r="D37" s="51" t="s">
        <v>13</v>
      </c>
      <c r="E37" s="53"/>
      <c r="F37" s="54"/>
      <c r="G37" s="54">
        <f>SUM(G38,G39,G40)</f>
        <v>457.40999999999997</v>
      </c>
    </row>
    <row r="38" spans="2:7" s="121" customFormat="1" ht="63" x14ac:dyDescent="0.25">
      <c r="B38" s="127" t="s">
        <v>195</v>
      </c>
      <c r="C38" s="128" t="s">
        <v>95</v>
      </c>
      <c r="D38" s="129" t="s">
        <v>13</v>
      </c>
      <c r="E38" s="61">
        <v>1</v>
      </c>
      <c r="F38" s="62">
        <v>167.35</v>
      </c>
      <c r="G38" s="62">
        <f>E38*F38</f>
        <v>167.35</v>
      </c>
    </row>
    <row r="39" spans="2:7" s="121" customFormat="1" ht="15.75" x14ac:dyDescent="0.25">
      <c r="B39" s="60" t="s">
        <v>96</v>
      </c>
      <c r="C39" s="128" t="s">
        <v>196</v>
      </c>
      <c r="D39" s="60" t="s">
        <v>13</v>
      </c>
      <c r="E39" s="61">
        <v>1</v>
      </c>
      <c r="F39" s="62">
        <v>233.94</v>
      </c>
      <c r="G39" s="62">
        <f>E39*F39</f>
        <v>233.94</v>
      </c>
    </row>
    <row r="40" spans="2:7" s="121" customFormat="1" ht="15.75" x14ac:dyDescent="0.25">
      <c r="B40" s="58">
        <v>90772</v>
      </c>
      <c r="C40" s="122" t="s">
        <v>97</v>
      </c>
      <c r="D40" s="60" t="s">
        <v>31</v>
      </c>
      <c r="E40" s="120">
        <v>4</v>
      </c>
      <c r="F40" s="62">
        <v>14.03</v>
      </c>
      <c r="G40" s="62">
        <f>E40*F40</f>
        <v>56.12</v>
      </c>
    </row>
    <row r="41" spans="2:7" s="121" customFormat="1" ht="15.75" x14ac:dyDescent="0.25">
      <c r="C41" s="130"/>
    </row>
    <row r="42" spans="2:7" s="55" customFormat="1" ht="31.5" x14ac:dyDescent="0.25">
      <c r="B42" s="119" t="s">
        <v>86</v>
      </c>
      <c r="C42" s="135" t="s">
        <v>93</v>
      </c>
      <c r="D42" s="51" t="s">
        <v>0</v>
      </c>
      <c r="E42" s="51"/>
      <c r="F42" s="136"/>
      <c r="G42" s="137">
        <f>SUM(G43:G48)</f>
        <v>299.19400000000002</v>
      </c>
    </row>
    <row r="43" spans="2:7" s="121" customFormat="1" ht="31.5" x14ac:dyDescent="0.25">
      <c r="B43" s="58">
        <v>4417</v>
      </c>
      <c r="C43" s="131" t="s">
        <v>98</v>
      </c>
      <c r="D43" s="60" t="s">
        <v>6</v>
      </c>
      <c r="E43" s="132">
        <v>1</v>
      </c>
      <c r="F43" s="133">
        <v>4.34</v>
      </c>
      <c r="G43" s="134">
        <f t="shared" ref="G43:G48" si="1">E43*F43</f>
        <v>4.34</v>
      </c>
    </row>
    <row r="44" spans="2:7" s="121" customFormat="1" ht="31.5" x14ac:dyDescent="0.25">
      <c r="B44" s="58">
        <v>4491</v>
      </c>
      <c r="C44" s="131" t="s">
        <v>99</v>
      </c>
      <c r="D44" s="60" t="s">
        <v>6</v>
      </c>
      <c r="E44" s="132">
        <v>4</v>
      </c>
      <c r="F44" s="133">
        <v>8.19</v>
      </c>
      <c r="G44" s="134">
        <f t="shared" si="1"/>
        <v>32.76</v>
      </c>
    </row>
    <row r="45" spans="2:7" s="121" customFormat="1" ht="31.5" x14ac:dyDescent="0.25">
      <c r="B45" s="58">
        <v>4813</v>
      </c>
      <c r="C45" s="131" t="s">
        <v>100</v>
      </c>
      <c r="D45" s="60" t="s">
        <v>46</v>
      </c>
      <c r="E45" s="132">
        <v>1</v>
      </c>
      <c r="F45" s="133">
        <v>225</v>
      </c>
      <c r="G45" s="134">
        <f t="shared" si="1"/>
        <v>225</v>
      </c>
    </row>
    <row r="46" spans="2:7" s="121" customFormat="1" ht="15.75" x14ac:dyDescent="0.25">
      <c r="B46" s="58">
        <v>5075</v>
      </c>
      <c r="C46" s="131" t="s">
        <v>101</v>
      </c>
      <c r="D46" s="60" t="s">
        <v>7</v>
      </c>
      <c r="E46" s="132">
        <v>0.11</v>
      </c>
      <c r="F46" s="133">
        <v>23.4</v>
      </c>
      <c r="G46" s="134">
        <f t="shared" si="1"/>
        <v>2.5739999999999998</v>
      </c>
    </row>
    <row r="47" spans="2:7" s="121" customFormat="1" ht="15.75" x14ac:dyDescent="0.25">
      <c r="B47" s="58">
        <v>88262</v>
      </c>
      <c r="C47" s="131" t="s">
        <v>102</v>
      </c>
      <c r="D47" s="60" t="s">
        <v>31</v>
      </c>
      <c r="E47" s="132">
        <v>1</v>
      </c>
      <c r="F47" s="133">
        <v>19.649999999999999</v>
      </c>
      <c r="G47" s="134">
        <f t="shared" si="1"/>
        <v>19.649999999999999</v>
      </c>
    </row>
    <row r="48" spans="2:7" s="121" customFormat="1" ht="15.75" x14ac:dyDescent="0.25">
      <c r="B48" s="58">
        <v>88316</v>
      </c>
      <c r="C48" s="131" t="s">
        <v>40</v>
      </c>
      <c r="D48" s="60" t="s">
        <v>31</v>
      </c>
      <c r="E48" s="132">
        <v>1</v>
      </c>
      <c r="F48" s="133">
        <v>14.87</v>
      </c>
      <c r="G48" s="134">
        <f t="shared" si="1"/>
        <v>14.87</v>
      </c>
    </row>
    <row r="49" spans="2:7" s="55" customFormat="1" ht="15.75" x14ac:dyDescent="0.25">
      <c r="B49" s="119" t="s">
        <v>87</v>
      </c>
      <c r="C49" s="135" t="s">
        <v>109</v>
      </c>
      <c r="D49" s="51" t="s">
        <v>0</v>
      </c>
      <c r="E49" s="51"/>
      <c r="F49" s="136"/>
      <c r="G49" s="137">
        <f>SUM(G50,G51,G52,G53)</f>
        <v>60.357299999999995</v>
      </c>
    </row>
    <row r="50" spans="2:7" s="121" customFormat="1" ht="47.25" x14ac:dyDescent="0.25">
      <c r="B50" s="58">
        <v>87270</v>
      </c>
      <c r="C50" s="131" t="s">
        <v>111</v>
      </c>
      <c r="D50" s="60" t="s">
        <v>46</v>
      </c>
      <c r="E50" s="132">
        <v>0.43</v>
      </c>
      <c r="F50" s="133">
        <v>63.41</v>
      </c>
      <c r="G50" s="133">
        <f>E50*F50</f>
        <v>27.266299999999998</v>
      </c>
    </row>
    <row r="51" spans="2:7" s="121" customFormat="1" ht="15.75" x14ac:dyDescent="0.25">
      <c r="B51" s="213">
        <v>88256</v>
      </c>
      <c r="C51" s="131" t="s">
        <v>113</v>
      </c>
      <c r="D51" s="60" t="s">
        <v>31</v>
      </c>
      <c r="E51" s="132">
        <v>0.5</v>
      </c>
      <c r="F51" s="133">
        <v>19.79</v>
      </c>
      <c r="G51" s="134">
        <f>E51*F51</f>
        <v>9.8949999999999996</v>
      </c>
    </row>
    <row r="52" spans="2:7" s="121" customFormat="1" ht="15.75" x14ac:dyDescent="0.25">
      <c r="B52" s="58">
        <v>88316</v>
      </c>
      <c r="C52" s="131" t="s">
        <v>40</v>
      </c>
      <c r="D52" s="60" t="s">
        <v>31</v>
      </c>
      <c r="E52" s="132">
        <v>0.44</v>
      </c>
      <c r="F52" s="133">
        <v>15.65</v>
      </c>
      <c r="G52" s="134">
        <f>E52*F52</f>
        <v>6.8860000000000001</v>
      </c>
    </row>
    <row r="53" spans="2:7" s="121" customFormat="1" ht="31.5" x14ac:dyDescent="0.25">
      <c r="B53" s="58">
        <v>97633</v>
      </c>
      <c r="C53" s="131" t="s">
        <v>158</v>
      </c>
      <c r="D53" s="60" t="s">
        <v>46</v>
      </c>
      <c r="E53" s="132">
        <v>1</v>
      </c>
      <c r="F53" s="133">
        <v>16.309999999999999</v>
      </c>
      <c r="G53" s="134">
        <f>E53*F53</f>
        <v>16.309999999999999</v>
      </c>
    </row>
    <row r="54" spans="2:7" s="55" customFormat="1" ht="15.75" x14ac:dyDescent="0.25">
      <c r="B54" s="119" t="s">
        <v>88</v>
      </c>
      <c r="C54" s="135" t="s">
        <v>110</v>
      </c>
      <c r="D54" s="51" t="s">
        <v>0</v>
      </c>
      <c r="E54" s="51"/>
      <c r="F54" s="136"/>
      <c r="G54" s="137">
        <f>SUM(G55,G56,G57,G58)</f>
        <v>30.355</v>
      </c>
    </row>
    <row r="55" spans="2:7" s="121" customFormat="1" ht="47.25" x14ac:dyDescent="0.25">
      <c r="B55" s="58">
        <v>87270</v>
      </c>
      <c r="C55" s="131" t="s">
        <v>111</v>
      </c>
      <c r="D55" s="60" t="s">
        <v>46</v>
      </c>
      <c r="E55" s="132">
        <v>0.15</v>
      </c>
      <c r="F55" s="133">
        <v>63.41</v>
      </c>
      <c r="G55" s="133">
        <f>E55*F55</f>
        <v>9.5114999999999998</v>
      </c>
    </row>
    <row r="56" spans="2:7" s="121" customFormat="1" ht="15.75" x14ac:dyDescent="0.25">
      <c r="B56" s="213" t="s">
        <v>112</v>
      </c>
      <c r="C56" s="131" t="s">
        <v>113</v>
      </c>
      <c r="D56" s="60" t="s">
        <v>31</v>
      </c>
      <c r="E56" s="132">
        <v>0.15</v>
      </c>
      <c r="F56" s="133">
        <v>19.79</v>
      </c>
      <c r="G56" s="134">
        <f>E56*F56</f>
        <v>2.9684999999999997</v>
      </c>
    </row>
    <row r="57" spans="2:7" s="121" customFormat="1" ht="31.5" x14ac:dyDescent="0.25">
      <c r="B57" s="58">
        <v>97633</v>
      </c>
      <c r="C57" s="131" t="s">
        <v>158</v>
      </c>
      <c r="D57" s="60" t="s">
        <v>46</v>
      </c>
      <c r="E57" s="132">
        <v>1</v>
      </c>
      <c r="F57" s="133">
        <v>16.309999999999999</v>
      </c>
      <c r="G57" s="134">
        <f>E57*F57</f>
        <v>16.309999999999999</v>
      </c>
    </row>
    <row r="58" spans="2:7" s="121" customFormat="1" ht="15.75" x14ac:dyDescent="0.25">
      <c r="B58" s="58">
        <v>88316</v>
      </c>
      <c r="C58" s="131" t="s">
        <v>40</v>
      </c>
      <c r="D58" s="60" t="s">
        <v>31</v>
      </c>
      <c r="E58" s="132">
        <v>0.1</v>
      </c>
      <c r="F58" s="133">
        <v>15.65</v>
      </c>
      <c r="G58" s="134">
        <f>E58*F58</f>
        <v>1.5650000000000002</v>
      </c>
    </row>
    <row r="59" spans="2:7" s="55" customFormat="1" ht="15.75" x14ac:dyDescent="0.25">
      <c r="B59" s="119" t="s">
        <v>103</v>
      </c>
      <c r="C59" s="135" t="s">
        <v>115</v>
      </c>
      <c r="D59" s="51" t="s">
        <v>0</v>
      </c>
      <c r="E59" s="51"/>
      <c r="F59" s="136"/>
      <c r="G59" s="137">
        <f>SUM(G60,G61,G62,G63)</f>
        <v>33.268500000000003</v>
      </c>
    </row>
    <row r="60" spans="2:7" s="121" customFormat="1" ht="31.5" x14ac:dyDescent="0.25">
      <c r="B60" s="58">
        <v>87251</v>
      </c>
      <c r="C60" s="131" t="s">
        <v>116</v>
      </c>
      <c r="D60" s="60" t="s">
        <v>46</v>
      </c>
      <c r="E60" s="132">
        <v>0.2</v>
      </c>
      <c r="F60" s="133">
        <v>43.37</v>
      </c>
      <c r="G60" s="133">
        <f>E60*F60</f>
        <v>8.6739999999999995</v>
      </c>
    </row>
    <row r="61" spans="2:7" s="121" customFormat="1" ht="15.75" x14ac:dyDescent="0.25">
      <c r="B61" s="213" t="s">
        <v>112</v>
      </c>
      <c r="C61" s="131" t="s">
        <v>113</v>
      </c>
      <c r="D61" s="60" t="s">
        <v>31</v>
      </c>
      <c r="E61" s="132">
        <v>0.3</v>
      </c>
      <c r="F61" s="133">
        <v>19.79</v>
      </c>
      <c r="G61" s="134">
        <f>E61*F61</f>
        <v>5.9369999999999994</v>
      </c>
    </row>
    <row r="62" spans="2:7" s="121" customFormat="1" ht="15.75" x14ac:dyDescent="0.25">
      <c r="B62" s="58">
        <v>88316</v>
      </c>
      <c r="C62" s="131" t="s">
        <v>40</v>
      </c>
      <c r="D62" s="60" t="s">
        <v>31</v>
      </c>
      <c r="E62" s="132">
        <v>0.15</v>
      </c>
      <c r="F62" s="133">
        <v>15.65</v>
      </c>
      <c r="G62" s="134">
        <f>E62*F62</f>
        <v>2.3475000000000001</v>
      </c>
    </row>
    <row r="63" spans="2:7" s="121" customFormat="1" ht="31.5" x14ac:dyDescent="0.25">
      <c r="B63" s="58">
        <v>97633</v>
      </c>
      <c r="C63" s="131" t="s">
        <v>158</v>
      </c>
      <c r="D63" s="60" t="s">
        <v>46</v>
      </c>
      <c r="E63" s="132">
        <v>1</v>
      </c>
      <c r="F63" s="133">
        <v>16.309999999999999</v>
      </c>
      <c r="G63" s="134">
        <f>E63*F63</f>
        <v>16.309999999999999</v>
      </c>
    </row>
    <row r="64" spans="2:7" s="55" customFormat="1" ht="15.75" x14ac:dyDescent="0.25">
      <c r="B64" s="119" t="s">
        <v>104</v>
      </c>
      <c r="C64" s="135" t="s">
        <v>119</v>
      </c>
      <c r="D64" s="51" t="s">
        <v>6</v>
      </c>
      <c r="E64" s="51"/>
      <c r="F64" s="136"/>
      <c r="G64" s="137">
        <f>SUM(G65:G68)</f>
        <v>19.098500000000001</v>
      </c>
    </row>
    <row r="65" spans="2:7" s="121" customFormat="1" ht="31.5" x14ac:dyDescent="0.25">
      <c r="B65" s="58">
        <v>157</v>
      </c>
      <c r="C65" s="131" t="s">
        <v>203</v>
      </c>
      <c r="D65" s="60" t="s">
        <v>80</v>
      </c>
      <c r="E65" s="132">
        <v>0.1</v>
      </c>
      <c r="F65" s="133">
        <v>112.4</v>
      </c>
      <c r="G65" s="134">
        <f>E65*F65</f>
        <v>11.240000000000002</v>
      </c>
    </row>
    <row r="66" spans="2:7" s="121" customFormat="1" ht="31.5" x14ac:dyDescent="0.25">
      <c r="B66" s="159">
        <v>371</v>
      </c>
      <c r="C66" s="131" t="s">
        <v>120</v>
      </c>
      <c r="D66" s="60" t="s">
        <v>80</v>
      </c>
      <c r="E66" s="160">
        <v>0.85</v>
      </c>
      <c r="F66" s="133">
        <v>0.89</v>
      </c>
      <c r="G66" s="134">
        <f>E66*F66</f>
        <v>0.75649999999999995</v>
      </c>
    </row>
    <row r="67" spans="2:7" s="121" customFormat="1" ht="15.75" x14ac:dyDescent="0.25">
      <c r="B67" s="58">
        <v>88316</v>
      </c>
      <c r="C67" s="131" t="s">
        <v>40</v>
      </c>
      <c r="D67" s="60" t="s">
        <v>31</v>
      </c>
      <c r="E67" s="132">
        <v>0.2</v>
      </c>
      <c r="F67" s="133">
        <v>15.65</v>
      </c>
      <c r="G67" s="134">
        <f>E67*F67</f>
        <v>3.1300000000000003</v>
      </c>
    </row>
    <row r="68" spans="2:7" s="121" customFormat="1" ht="15.75" x14ac:dyDescent="0.25">
      <c r="B68" s="58">
        <v>88309</v>
      </c>
      <c r="C68" s="131" t="s">
        <v>121</v>
      </c>
      <c r="D68" s="60" t="s">
        <v>31</v>
      </c>
      <c r="E68" s="132">
        <v>0.2</v>
      </c>
      <c r="F68" s="133">
        <v>19.86</v>
      </c>
      <c r="G68" s="134">
        <f>E68*F68</f>
        <v>3.972</v>
      </c>
    </row>
    <row r="69" spans="2:7" s="55" customFormat="1" ht="15" customHeight="1" x14ac:dyDescent="0.25">
      <c r="B69" s="51" t="s">
        <v>135</v>
      </c>
      <c r="C69" s="135" t="s">
        <v>130</v>
      </c>
      <c r="D69" s="119" t="s">
        <v>0</v>
      </c>
      <c r="E69" s="53"/>
      <c r="F69" s="54"/>
      <c r="G69" s="54">
        <f>SUM(G70:G73)</f>
        <v>4.2699999999999996</v>
      </c>
    </row>
    <row r="70" spans="2:7" s="121" customFormat="1" ht="15.75" x14ac:dyDescent="0.25">
      <c r="B70" s="58">
        <v>99803</v>
      </c>
      <c r="C70" s="128" t="s">
        <v>131</v>
      </c>
      <c r="D70" s="60" t="s">
        <v>46</v>
      </c>
      <c r="E70" s="77">
        <v>1</v>
      </c>
      <c r="F70" s="67">
        <v>1.51</v>
      </c>
      <c r="G70" s="67">
        <f>F70*E70</f>
        <v>1.51</v>
      </c>
    </row>
    <row r="71" spans="2:7" s="121" customFormat="1" ht="15.75" x14ac:dyDescent="0.25">
      <c r="B71" s="58">
        <v>99806</v>
      </c>
      <c r="C71" s="128" t="s">
        <v>132</v>
      </c>
      <c r="D71" s="60" t="s">
        <v>46</v>
      </c>
      <c r="E71" s="77">
        <v>1</v>
      </c>
      <c r="F71" s="67">
        <v>0.62</v>
      </c>
      <c r="G71" s="67">
        <f>F71*E71</f>
        <v>0.62</v>
      </c>
    </row>
    <row r="72" spans="2:7" s="121" customFormat="1" ht="15.75" x14ac:dyDescent="0.25">
      <c r="B72" s="58">
        <v>99814</v>
      </c>
      <c r="C72" s="128" t="s">
        <v>133</v>
      </c>
      <c r="D72" s="60" t="s">
        <v>46</v>
      </c>
      <c r="E72" s="77">
        <v>1</v>
      </c>
      <c r="F72" s="67">
        <v>1.41</v>
      </c>
      <c r="G72" s="67">
        <f>F72*E72</f>
        <v>1.41</v>
      </c>
    </row>
    <row r="73" spans="2:7" s="121" customFormat="1" ht="15.75" x14ac:dyDescent="0.25">
      <c r="B73" s="58">
        <v>99822</v>
      </c>
      <c r="C73" s="128" t="s">
        <v>134</v>
      </c>
      <c r="D73" s="60" t="s">
        <v>46</v>
      </c>
      <c r="E73" s="77">
        <v>1</v>
      </c>
      <c r="F73" s="67">
        <v>0.73</v>
      </c>
      <c r="G73" s="67">
        <f>F73*E73</f>
        <v>0.73</v>
      </c>
    </row>
    <row r="74" spans="2:7" s="55" customFormat="1" ht="15" customHeight="1" x14ac:dyDescent="0.25">
      <c r="B74" s="51" t="s">
        <v>129</v>
      </c>
      <c r="C74" s="135" t="s">
        <v>138</v>
      </c>
      <c r="D74" s="119" t="s">
        <v>0</v>
      </c>
      <c r="E74" s="53"/>
      <c r="F74" s="54"/>
      <c r="G74" s="54">
        <f>SUM(G75:G78)</f>
        <v>65.269500000000008</v>
      </c>
    </row>
    <row r="75" spans="2:7" s="121" customFormat="1" ht="31.5" x14ac:dyDescent="0.25">
      <c r="B75" s="209">
        <v>142</v>
      </c>
      <c r="C75" s="128" t="s">
        <v>139</v>
      </c>
      <c r="D75" s="60" t="s">
        <v>35</v>
      </c>
      <c r="E75" s="77">
        <v>0.3</v>
      </c>
      <c r="F75" s="67">
        <v>25.89</v>
      </c>
      <c r="G75" s="67">
        <f>F75*E75</f>
        <v>7.7669999999999995</v>
      </c>
    </row>
    <row r="76" spans="2:7" s="121" customFormat="1" ht="15.75" x14ac:dyDescent="0.25">
      <c r="B76" s="60" t="s">
        <v>141</v>
      </c>
      <c r="C76" s="128" t="s">
        <v>140</v>
      </c>
      <c r="D76" s="60" t="s">
        <v>31</v>
      </c>
      <c r="E76" s="77">
        <v>0.2</v>
      </c>
      <c r="F76" s="67">
        <v>19.75</v>
      </c>
      <c r="G76" s="67">
        <f>F76*E76</f>
        <v>3.95</v>
      </c>
    </row>
    <row r="77" spans="2:7" s="121" customFormat="1" ht="15.75" x14ac:dyDescent="0.25">
      <c r="B77" s="60" t="s">
        <v>142</v>
      </c>
      <c r="C77" s="128" t="s">
        <v>40</v>
      </c>
      <c r="D77" s="60" t="s">
        <v>31</v>
      </c>
      <c r="E77" s="77">
        <v>0.15</v>
      </c>
      <c r="F77" s="67">
        <v>15.65</v>
      </c>
      <c r="G77" s="67">
        <f>F77*E77</f>
        <v>2.3475000000000001</v>
      </c>
    </row>
    <row r="78" spans="2:7" s="121" customFormat="1" ht="15.75" x14ac:dyDescent="0.25">
      <c r="B78" s="58" t="s">
        <v>143</v>
      </c>
      <c r="C78" s="128" t="s">
        <v>144</v>
      </c>
      <c r="D78" s="60" t="s">
        <v>0</v>
      </c>
      <c r="E78" s="77">
        <v>3.5</v>
      </c>
      <c r="F78" s="67">
        <v>14.63</v>
      </c>
      <c r="G78" s="67">
        <f>F78*E78</f>
        <v>51.205000000000005</v>
      </c>
    </row>
  </sheetData>
  <mergeCells count="2">
    <mergeCell ref="B2:G2"/>
    <mergeCell ref="B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L9" sqref="L9"/>
    </sheetView>
  </sheetViews>
  <sheetFormatPr defaultRowHeight="15" x14ac:dyDescent="0.25"/>
  <cols>
    <col min="1" max="1" width="3" customWidth="1"/>
    <col min="5" max="5" width="13.42578125" customWidth="1"/>
    <col min="10" max="10" width="9.7109375" customWidth="1"/>
    <col min="12" max="12" width="10" customWidth="1"/>
    <col min="13" max="13" width="14.140625" customWidth="1"/>
  </cols>
  <sheetData>
    <row r="2" spans="2:13" s="183" customFormat="1" x14ac:dyDescent="0.25">
      <c r="B2" s="329" t="s">
        <v>181</v>
      </c>
      <c r="C2" s="329"/>
      <c r="D2" s="329"/>
      <c r="E2" s="329"/>
      <c r="G2" s="329" t="s">
        <v>183</v>
      </c>
      <c r="H2" s="329"/>
      <c r="I2" s="329"/>
      <c r="J2" s="329"/>
      <c r="L2" s="329" t="s">
        <v>197</v>
      </c>
      <c r="M2" s="329"/>
    </row>
    <row r="3" spans="2:13" s="183" customFormat="1" x14ac:dyDescent="0.25">
      <c r="B3" s="204" t="s">
        <v>169</v>
      </c>
      <c r="C3" s="204" t="s">
        <v>171</v>
      </c>
      <c r="D3" s="204" t="s">
        <v>172</v>
      </c>
      <c r="E3" s="204" t="s">
        <v>173</v>
      </c>
      <c r="G3" s="204" t="s">
        <v>169</v>
      </c>
      <c r="H3" s="204" t="s">
        <v>171</v>
      </c>
      <c r="I3" s="204" t="s">
        <v>172</v>
      </c>
      <c r="J3" s="204" t="s">
        <v>173</v>
      </c>
      <c r="L3" s="204" t="s">
        <v>198</v>
      </c>
      <c r="M3" s="204">
        <v>153.9</v>
      </c>
    </row>
    <row r="4" spans="2:13" s="183" customFormat="1" x14ac:dyDescent="0.25">
      <c r="B4" s="204" t="s">
        <v>170</v>
      </c>
      <c r="C4" s="204">
        <f>20*3.5</f>
        <v>70</v>
      </c>
      <c r="D4" s="204">
        <f>2.4*3</f>
        <v>7.1999999999999993</v>
      </c>
      <c r="E4" s="204">
        <f>C4-D4</f>
        <v>62.8</v>
      </c>
      <c r="G4" s="204" t="s">
        <v>170</v>
      </c>
      <c r="H4" s="204">
        <f>18.7*3.5</f>
        <v>65.45</v>
      </c>
      <c r="I4" s="204">
        <v>7.2</v>
      </c>
      <c r="J4" s="204">
        <f>H4-I4</f>
        <v>58.25</v>
      </c>
      <c r="L4" s="204" t="s">
        <v>31</v>
      </c>
      <c r="M4" s="204">
        <v>0.4</v>
      </c>
    </row>
    <row r="5" spans="2:13" s="183" customFormat="1" x14ac:dyDescent="0.25">
      <c r="B5" s="204" t="s">
        <v>174</v>
      </c>
      <c r="C5" s="204">
        <f>12*3.5</f>
        <v>42</v>
      </c>
      <c r="D5" s="204">
        <v>0</v>
      </c>
      <c r="E5" s="204">
        <f>C5-D5</f>
        <v>42</v>
      </c>
      <c r="G5" s="204" t="s">
        <v>174</v>
      </c>
      <c r="H5" s="204">
        <f>11.7*3.5</f>
        <v>40.949999999999996</v>
      </c>
      <c r="I5" s="204">
        <v>0</v>
      </c>
      <c r="J5" s="204">
        <f>H5-I5</f>
        <v>40.949999999999996</v>
      </c>
      <c r="L5" s="204" t="s">
        <v>199</v>
      </c>
      <c r="M5" s="204">
        <f>M3*M4</f>
        <v>61.56</v>
      </c>
    </row>
    <row r="6" spans="2:13" s="183" customFormat="1" x14ac:dyDescent="0.25">
      <c r="B6" s="204" t="s">
        <v>175</v>
      </c>
      <c r="C6" s="204">
        <f>20*3.5</f>
        <v>70</v>
      </c>
      <c r="D6" s="204">
        <v>14.84</v>
      </c>
      <c r="E6" s="204">
        <f t="shared" ref="E6:E9" si="0">C6-D6</f>
        <v>55.16</v>
      </c>
      <c r="G6" s="204" t="s">
        <v>175</v>
      </c>
      <c r="H6" s="204">
        <f>18.7*3.5</f>
        <v>65.45</v>
      </c>
      <c r="I6" s="204">
        <v>14.84</v>
      </c>
      <c r="J6" s="204">
        <f t="shared" ref="J6:J18" si="1">H6-I6</f>
        <v>50.61</v>
      </c>
    </row>
    <row r="7" spans="2:13" s="183" customFormat="1" x14ac:dyDescent="0.25">
      <c r="B7" s="204" t="s">
        <v>176</v>
      </c>
      <c r="C7" s="204">
        <f>13.6*3.5</f>
        <v>47.6</v>
      </c>
      <c r="D7" s="204">
        <v>7.4</v>
      </c>
      <c r="E7" s="204">
        <f t="shared" si="0"/>
        <v>40.200000000000003</v>
      </c>
      <c r="G7" s="204" t="s">
        <v>176</v>
      </c>
      <c r="H7" s="204">
        <f>11.7*3.5</f>
        <v>40.949999999999996</v>
      </c>
      <c r="I7" s="204">
        <v>7.4</v>
      </c>
      <c r="J7" s="204">
        <f t="shared" si="1"/>
        <v>33.549999999999997</v>
      </c>
    </row>
    <row r="8" spans="2:13" s="183" customFormat="1" x14ac:dyDescent="0.25">
      <c r="B8" s="204" t="s">
        <v>177</v>
      </c>
      <c r="C8" s="204">
        <f>13.6*2</f>
        <v>27.2</v>
      </c>
      <c r="D8" s="204">
        <v>0</v>
      </c>
      <c r="E8" s="204">
        <f t="shared" si="0"/>
        <v>27.2</v>
      </c>
      <c r="G8" s="330" t="s">
        <v>177</v>
      </c>
      <c r="H8" s="204">
        <f>5*3.1</f>
        <v>15.5</v>
      </c>
      <c r="I8" s="204">
        <f>2.1*0.9</f>
        <v>1.8900000000000001</v>
      </c>
      <c r="J8" s="204">
        <f t="shared" si="1"/>
        <v>13.61</v>
      </c>
    </row>
    <row r="9" spans="2:13" s="183" customFormat="1" ht="15.75" thickBot="1" x14ac:dyDescent="0.3">
      <c r="B9" s="205" t="s">
        <v>178</v>
      </c>
      <c r="C9" s="205">
        <f>7*2</f>
        <v>14</v>
      </c>
      <c r="D9" s="205">
        <v>0</v>
      </c>
      <c r="E9" s="205">
        <f t="shared" si="0"/>
        <v>14</v>
      </c>
      <c r="G9" s="332"/>
      <c r="H9" s="204">
        <f>5*3.1</f>
        <v>15.5</v>
      </c>
      <c r="I9" s="204">
        <f>2.1*0.9</f>
        <v>1.8900000000000001</v>
      </c>
      <c r="J9" s="204">
        <f t="shared" si="1"/>
        <v>13.61</v>
      </c>
    </row>
    <row r="10" spans="2:13" s="183" customFormat="1" ht="15.75" thickBot="1" x14ac:dyDescent="0.3">
      <c r="B10" s="206" t="s">
        <v>182</v>
      </c>
      <c r="C10" s="207"/>
      <c r="D10" s="207"/>
      <c r="E10" s="208">
        <f>SUM(E4:E9)</f>
        <v>241.35999999999996</v>
      </c>
      <c r="G10" s="330" t="s">
        <v>179</v>
      </c>
      <c r="H10" s="204">
        <f>1.27*3.1</f>
        <v>3.9370000000000003</v>
      </c>
      <c r="I10" s="204">
        <v>0</v>
      </c>
      <c r="J10" s="204">
        <f t="shared" si="1"/>
        <v>3.9370000000000003</v>
      </c>
    </row>
    <row r="11" spans="2:13" s="183" customFormat="1" ht="15.75" thickBot="1" x14ac:dyDescent="0.3">
      <c r="G11" s="332"/>
      <c r="H11" s="204">
        <f>1.27*3.1</f>
        <v>3.9370000000000003</v>
      </c>
      <c r="I11" s="204">
        <v>0</v>
      </c>
      <c r="J11" s="204">
        <f t="shared" si="1"/>
        <v>3.9370000000000003</v>
      </c>
    </row>
    <row r="12" spans="2:13" s="183" customFormat="1" ht="15.75" thickBot="1" x14ac:dyDescent="0.3">
      <c r="B12" s="206" t="s">
        <v>189</v>
      </c>
      <c r="C12" s="208">
        <f>SUM(E10,J24)</f>
        <v>696.68399999999997</v>
      </c>
      <c r="G12" s="330" t="s">
        <v>180</v>
      </c>
      <c r="H12" s="204">
        <f>5*3.1</f>
        <v>15.5</v>
      </c>
      <c r="I12" s="204">
        <v>3.78</v>
      </c>
      <c r="J12" s="204">
        <f t="shared" si="1"/>
        <v>11.72</v>
      </c>
    </row>
    <row r="13" spans="2:13" s="183" customFormat="1" ht="15.75" thickBot="1" x14ac:dyDescent="0.3">
      <c r="G13" s="332"/>
      <c r="H13" s="204">
        <f>5*3.1</f>
        <v>15.5</v>
      </c>
      <c r="I13" s="204">
        <v>3.78</v>
      </c>
      <c r="J13" s="204">
        <f t="shared" si="1"/>
        <v>11.72</v>
      </c>
    </row>
    <row r="14" spans="2:13" s="183" customFormat="1" ht="15.75" thickBot="1" x14ac:dyDescent="0.3">
      <c r="B14" s="206" t="s">
        <v>190</v>
      </c>
      <c r="C14" s="208">
        <f>19.6+21.65+7.64+7.64+82.48+42.44+42.44</f>
        <v>223.89</v>
      </c>
      <c r="G14" s="330" t="s">
        <v>184</v>
      </c>
      <c r="H14" s="204">
        <f>2.4*3.1</f>
        <v>7.4399999999999995</v>
      </c>
      <c r="I14" s="204">
        <v>0</v>
      </c>
      <c r="J14" s="204">
        <f t="shared" si="1"/>
        <v>7.4399999999999995</v>
      </c>
    </row>
    <row r="15" spans="2:13" s="183" customFormat="1" x14ac:dyDescent="0.25">
      <c r="G15" s="332"/>
      <c r="H15" s="204">
        <f>2.4*3.1</f>
        <v>7.4399999999999995</v>
      </c>
      <c r="I15" s="204">
        <v>0</v>
      </c>
      <c r="J15" s="204">
        <f t="shared" si="1"/>
        <v>7.4399999999999995</v>
      </c>
    </row>
    <row r="16" spans="2:13" s="183" customFormat="1" x14ac:dyDescent="0.25">
      <c r="G16" s="330" t="s">
        <v>185</v>
      </c>
      <c r="H16" s="204">
        <f>7.35*3.1</f>
        <v>22.785</v>
      </c>
      <c r="I16" s="204">
        <v>0</v>
      </c>
      <c r="J16" s="204">
        <f t="shared" si="1"/>
        <v>22.785</v>
      </c>
    </row>
    <row r="17" spans="7:10" s="183" customFormat="1" x14ac:dyDescent="0.25">
      <c r="G17" s="332"/>
      <c r="H17" s="204">
        <f>7.35*3.1</f>
        <v>22.785</v>
      </c>
      <c r="I17" s="204">
        <v>0</v>
      </c>
      <c r="J17" s="204">
        <f t="shared" si="1"/>
        <v>22.785</v>
      </c>
    </row>
    <row r="18" spans="7:10" s="183" customFormat="1" x14ac:dyDescent="0.25">
      <c r="G18" s="330" t="s">
        <v>186</v>
      </c>
      <c r="H18" s="204">
        <f>3.9*3.1</f>
        <v>12.09</v>
      </c>
      <c r="I18" s="204">
        <v>0</v>
      </c>
      <c r="J18" s="204">
        <f t="shared" si="1"/>
        <v>12.09</v>
      </c>
    </row>
    <row r="19" spans="7:10" s="183" customFormat="1" x14ac:dyDescent="0.25">
      <c r="G19" s="332"/>
      <c r="H19" s="204">
        <f>3.9*3.1</f>
        <v>12.09</v>
      </c>
      <c r="I19" s="204">
        <v>0</v>
      </c>
      <c r="J19" s="204">
        <f t="shared" ref="J19:J20" si="2">H19-I19</f>
        <v>12.09</v>
      </c>
    </row>
    <row r="20" spans="7:10" s="183" customFormat="1" x14ac:dyDescent="0.25">
      <c r="G20" s="330" t="s">
        <v>187</v>
      </c>
      <c r="H20" s="204">
        <f>11.7*3.1</f>
        <v>36.269999999999996</v>
      </c>
      <c r="I20" s="204">
        <v>3.36</v>
      </c>
      <c r="J20" s="204">
        <f t="shared" si="2"/>
        <v>32.909999999999997</v>
      </c>
    </row>
    <row r="21" spans="7:10" s="183" customFormat="1" x14ac:dyDescent="0.25">
      <c r="G21" s="332"/>
      <c r="H21" s="204">
        <f>11.7*3.1</f>
        <v>36.269999999999996</v>
      </c>
      <c r="I21" s="204">
        <v>4.3600000000000003</v>
      </c>
      <c r="J21" s="204">
        <f t="shared" ref="J21:J23" si="3">H21-I21</f>
        <v>31.909999999999997</v>
      </c>
    </row>
    <row r="22" spans="7:10" s="183" customFormat="1" x14ac:dyDescent="0.25">
      <c r="G22" s="330" t="s">
        <v>188</v>
      </c>
      <c r="H22" s="204">
        <f>11.7*3.1</f>
        <v>36.269999999999996</v>
      </c>
      <c r="I22" s="204">
        <v>3.78</v>
      </c>
      <c r="J22" s="204">
        <f t="shared" si="3"/>
        <v>32.489999999999995</v>
      </c>
    </row>
    <row r="23" spans="7:10" s="183" customFormat="1" ht="15.75" thickBot="1" x14ac:dyDescent="0.3">
      <c r="G23" s="331"/>
      <c r="H23" s="205">
        <f>11.7*3.1</f>
        <v>36.269999999999996</v>
      </c>
      <c r="I23" s="205">
        <v>4.78</v>
      </c>
      <c r="J23" s="205">
        <f t="shared" si="3"/>
        <v>31.489999999999995</v>
      </c>
    </row>
    <row r="24" spans="7:10" s="183" customFormat="1" ht="15.75" thickBot="1" x14ac:dyDescent="0.3">
      <c r="G24" s="206" t="s">
        <v>182</v>
      </c>
      <c r="H24" s="207"/>
      <c r="I24" s="207"/>
      <c r="J24" s="208">
        <f>SUM(J4:J23)</f>
        <v>455.32400000000007</v>
      </c>
    </row>
    <row r="25" spans="7:10" s="183" customFormat="1" x14ac:dyDescent="0.25"/>
    <row r="26" spans="7:10" s="183" customFormat="1" x14ac:dyDescent="0.25"/>
    <row r="27" spans="7:10" s="183" customFormat="1" x14ac:dyDescent="0.25"/>
    <row r="28" spans="7:10" s="183" customFormat="1" x14ac:dyDescent="0.25"/>
    <row r="29" spans="7:10" s="183" customFormat="1" x14ac:dyDescent="0.25"/>
  </sheetData>
  <mergeCells count="11">
    <mergeCell ref="B2:E2"/>
    <mergeCell ref="G2:J2"/>
    <mergeCell ref="G8:G9"/>
    <mergeCell ref="G10:G11"/>
    <mergeCell ref="G12:G13"/>
    <mergeCell ref="L2:M2"/>
    <mergeCell ref="G22:G23"/>
    <mergeCell ref="G16:G17"/>
    <mergeCell ref="G18:G19"/>
    <mergeCell ref="G20:G21"/>
    <mergeCell ref="G14:G1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9" zoomScale="120" zoomScaleNormal="120" workbookViewId="0">
      <selection activeCell="B141" sqref="B14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Resumo AP</vt:lpstr>
      <vt:lpstr> Resumo RV</vt:lpstr>
      <vt:lpstr>P. Referência</vt:lpstr>
      <vt:lpstr>Composições</vt:lpstr>
      <vt:lpstr>Alvenaria-Pintura</vt:lpstr>
      <vt:lpstr>Cobertura</vt:lpstr>
      <vt:lpstr>Cotação</vt:lpstr>
      <vt:lpstr>' Resumo RV'!Area_de_impressao</vt:lpstr>
      <vt:lpstr>'P. Referência'!Area_de_impressao</vt:lpstr>
      <vt:lpstr>'Resumo AP'!Area_de_impressao</vt:lpstr>
      <vt:lpstr>' Resumo RV'!Titulos_de_impressao</vt:lpstr>
      <vt:lpstr>'P. Referência'!Titulos_de_impressao</vt:lpstr>
      <vt:lpstr>'Resumo AP'!Titulos_de_impressao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2021-10-05T14:55:36Z</cp:lastPrinted>
  <dcterms:created xsi:type="dcterms:W3CDTF">2017-08-18T12:05:16Z</dcterms:created>
  <dcterms:modified xsi:type="dcterms:W3CDTF">2021-11-17T15:18:55Z</dcterms:modified>
</cp:coreProperties>
</file>